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workbookProtection lockStructure="1"/>
  <bookViews>
    <workbookView xWindow="240" yWindow="12" windowWidth="11580" windowHeight="6540" tabRatio="944" activeTab="0"/>
  </bookViews>
  <sheets>
    <sheet name="Blatt_1_und_2" sheetId="1" r:id="rId1"/>
    <sheet name="GruppeA" sheetId="2" r:id="rId2"/>
    <sheet name="GruppeB" sheetId="3" r:id="rId3"/>
    <sheet name="Eingabe_Allgemein" sheetId="4" r:id="rId4"/>
    <sheet name="Info" sheetId="5" r:id="rId5"/>
    <sheet name="Hilfstabelle" sheetId="6" r:id="rId6"/>
  </sheets>
  <definedNames>
    <definedName name="_xlnm.Print_Area" localSheetId="0">'Blatt_1_und_2'!$A$1:$N$74</definedName>
  </definedNames>
  <calcPr fullCalcOnLoad="1"/>
</workbook>
</file>

<file path=xl/sharedStrings.xml><?xml version="1.0" encoding="utf-8"?>
<sst xmlns="http://schemas.openxmlformats.org/spreadsheetml/2006/main" count="337" uniqueCount="118">
  <si>
    <t>Pkt.</t>
  </si>
  <si>
    <t>Bälle</t>
  </si>
  <si>
    <t>GD</t>
  </si>
  <si>
    <t>BED</t>
  </si>
  <si>
    <t>HS</t>
  </si>
  <si>
    <t>Gruppe A</t>
  </si>
  <si>
    <t>Blatt 1</t>
  </si>
  <si>
    <t>Disziplin</t>
  </si>
  <si>
    <t>Datum</t>
  </si>
  <si>
    <t>Ausrichter</t>
  </si>
  <si>
    <t>Gruppe B</t>
  </si>
  <si>
    <t>A1</t>
  </si>
  <si>
    <t>A2</t>
  </si>
  <si>
    <t>A3</t>
  </si>
  <si>
    <t>A4</t>
  </si>
  <si>
    <t>B1</t>
  </si>
  <si>
    <t>B2</t>
  </si>
  <si>
    <t>B3</t>
  </si>
  <si>
    <t>B4</t>
  </si>
  <si>
    <t>Partie</t>
  </si>
  <si>
    <t>Spieler1</t>
  </si>
  <si>
    <t>Spieler2</t>
  </si>
  <si>
    <t>Tisch</t>
  </si>
  <si>
    <t>B</t>
  </si>
  <si>
    <t>A</t>
  </si>
  <si>
    <t>D</t>
  </si>
  <si>
    <t>Spieler 1</t>
  </si>
  <si>
    <t>Spieler 2</t>
  </si>
  <si>
    <t>Name</t>
  </si>
  <si>
    <t>Key</t>
  </si>
  <si>
    <t>Nr</t>
  </si>
  <si>
    <t>Nr.</t>
  </si>
  <si>
    <t>Los</t>
  </si>
  <si>
    <t>Platz</t>
  </si>
  <si>
    <t>Sort</t>
  </si>
  <si>
    <t>Wer?</t>
  </si>
  <si>
    <t>D ger.</t>
  </si>
  <si>
    <t>Dritter</t>
  </si>
  <si>
    <t>A - B</t>
  </si>
  <si>
    <t>Vierter</t>
  </si>
  <si>
    <t>Spiel um Platz 5 bis 8</t>
  </si>
  <si>
    <t>Durchschnitt</t>
  </si>
  <si>
    <t>Aufnahmen</t>
  </si>
  <si>
    <t>Halbfinale</t>
  </si>
  <si>
    <t>Sieger A</t>
  </si>
  <si>
    <t>Zweiter B</t>
  </si>
  <si>
    <t>Sieger B</t>
  </si>
  <si>
    <t>Zweiter A</t>
  </si>
  <si>
    <t>Verein</t>
  </si>
  <si>
    <t>Kurzname</t>
  </si>
  <si>
    <t>Min-Pkt</t>
  </si>
  <si>
    <t>für BED</t>
  </si>
  <si>
    <t>Spiel um Platz 3</t>
  </si>
  <si>
    <t>Verlierer</t>
  </si>
  <si>
    <t>Halbfinals</t>
  </si>
  <si>
    <t>Finale</t>
  </si>
  <si>
    <t>Gewinner</t>
  </si>
  <si>
    <t>Blatt 2</t>
  </si>
  <si>
    <t>Endklassement</t>
  </si>
  <si>
    <t>58HF</t>
  </si>
  <si>
    <t>3412</t>
  </si>
  <si>
    <t>Summe</t>
  </si>
  <si>
    <t>Punkte</t>
  </si>
  <si>
    <t>Aufn.</t>
  </si>
  <si>
    <t>Turnierdurchschnitt</t>
  </si>
  <si>
    <t>Ausser in Blatt_1_und_2 dürfen nur die gelb hinterlegten Felder geändert werden.</t>
  </si>
  <si>
    <t>Die Spiele um Platz 5 bis 8 werden direkt im Register "Blatt_1_und_2" eingegeben;</t>
  </si>
  <si>
    <t>Nach Ende der Vorrunde muß man zudem auch noch einmal das "Ausmalen" der Kreise starten;</t>
  </si>
  <si>
    <t>dazu einfach in "Blatt_1_und_2" ganz nach unten gehen und dort den entsprechenden Button drücken.</t>
  </si>
  <si>
    <t>hier aber nur die Ballzahl, die Aufnahmen und die Höchstserien, alles andere wird automatisch erledigt.</t>
  </si>
  <si>
    <t>Titel links</t>
  </si>
  <si>
    <t>Titel Mitte</t>
  </si>
  <si>
    <t>Disziplin / Distanz</t>
  </si>
  <si>
    <t>In dem Register "Eingabe_allgemein" können die Spielernamen und die Vereine sowie der Ausgangs-GD eingetragen werden,</t>
  </si>
  <si>
    <t>ebenso die allgemeinen Infos (Datum, Ausrichter etc.)</t>
  </si>
  <si>
    <t>Die Gruppenspiele werden in den Registern "GruppeA" und "GruppeB" eingegeben, ebenfalls nur in den gelben Feldern.</t>
  </si>
  <si>
    <t>Alle anderen Zellen sind geschützt, ebenso der Arbeitsmappenaufbau.</t>
  </si>
  <si>
    <t>MP</t>
  </si>
  <si>
    <t>Verein / Kreis</t>
  </si>
  <si>
    <t>Die Punkte im Endklassement sind während des Turniers evtl. nicht korrekt, erst bei Abschluß stimmt die Tabelle!</t>
  </si>
  <si>
    <t>Bemerkungen</t>
  </si>
  <si>
    <t>Turnierleiter:</t>
  </si>
  <si>
    <t>Unterschrift</t>
  </si>
  <si>
    <t>Bei Unentschieden in den Spielen um Platz 5 bis 8, in den Halbfinals und im großen und kleinen Finale kann</t>
  </si>
  <si>
    <t>in der Spalte O in der jeweiligen Zeile die durch Verlängerungen, Bandenentscheid etc. herbeigeführte</t>
  </si>
  <si>
    <t>Entscheidung eingetragen werden (2 oder 0); dann sollte in der Zeile unterhalb der Tabelle auch noch</t>
  </si>
  <si>
    <t>ein entsprechender Text eingetragen werden.</t>
  </si>
  <si>
    <t>Bitte in dieser Spalte durch Verlängerung etc. bedingte Punkte (2 oder 0) eintragen</t>
  </si>
  <si>
    <t>&lt;- Platz für Bemerkungen</t>
  </si>
  <si>
    <t>Saison</t>
  </si>
  <si>
    <t>Billardverband Niederrhein e.V.</t>
  </si>
  <si>
    <t>2011 / 2012</t>
  </si>
  <si>
    <t>Siebes, Fred</t>
  </si>
  <si>
    <t>Roos, Dirk</t>
  </si>
  <si>
    <t>Löwe, Tom</t>
  </si>
  <si>
    <t>Pauly, Marc</t>
  </si>
  <si>
    <t>Patett, Andreas</t>
  </si>
  <si>
    <t>Aust, Andreas</t>
  </si>
  <si>
    <t>BSV Velbert</t>
  </si>
  <si>
    <t>BF Lobberich 1937</t>
  </si>
  <si>
    <t>BC Rot-Weiß Opladen 1934</t>
  </si>
  <si>
    <t>BC Ruhrfähre</t>
  </si>
  <si>
    <t>BSG Duisburg</t>
  </si>
  <si>
    <t>BC Am Grünen Brett Xanten 1957</t>
  </si>
  <si>
    <t>2. Kl. Dreiband / 40 B / 40 A</t>
  </si>
  <si>
    <t>14. - 15.04.2012</t>
  </si>
  <si>
    <t>Billardfreunde Lobberich 1937</t>
  </si>
  <si>
    <t>Roos</t>
  </si>
  <si>
    <t>Patett</t>
  </si>
  <si>
    <t>Löwe</t>
  </si>
  <si>
    <t>Siebes</t>
  </si>
  <si>
    <t>Mönning, Ralf</t>
  </si>
  <si>
    <t>BC Neviges 60</t>
  </si>
  <si>
    <t>Mönning</t>
  </si>
  <si>
    <t>Pauly</t>
  </si>
  <si>
    <t>Aust</t>
  </si>
  <si>
    <t>Krümmel, Gerd</t>
  </si>
  <si>
    <t>Krümmel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</si>
</sst>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</numFmts>
  <fonts count="25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6" fillId="20" borderId="1" applyNumberFormat="0" applyAlignment="0" applyProtection="0"/>
    <xf numFmtId="0" fontId="17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7" borderId="2" applyNumberFormat="0" applyAlignment="0" applyProtection="0"/>
    <xf numFmtId="0" fontId="22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23" borderId="9" applyNumberFormat="0" applyAlignment="0" applyProtection="0"/>
  </cellStyleXfs>
  <cellXfs count="1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24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/>
      <protection/>
    </xf>
    <xf numFmtId="0" fontId="1" fillId="0" borderId="3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31" xfId="0" applyFont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1" fontId="0" fillId="0" borderId="12" xfId="0" applyNumberFormat="1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1" fontId="0" fillId="0" borderId="40" xfId="0" applyNumberForma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/>
      <protection/>
    </xf>
    <xf numFmtId="0" fontId="0" fillId="0" borderId="41" xfId="0" applyBorder="1" applyAlignment="1" applyProtection="1">
      <alignment horizontal="center" vertical="center"/>
      <protection/>
    </xf>
    <xf numFmtId="1" fontId="0" fillId="0" borderId="42" xfId="0" applyNumberForma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/>
      <protection/>
    </xf>
    <xf numFmtId="174" fontId="0" fillId="0" borderId="0" xfId="0" applyNumberFormat="1" applyAlignment="1">
      <alignment/>
    </xf>
    <xf numFmtId="174" fontId="0" fillId="24" borderId="0" xfId="0" applyNumberFormat="1" applyFill="1" applyAlignment="1" applyProtection="1">
      <alignment/>
      <protection locked="0"/>
    </xf>
    <xf numFmtId="174" fontId="0" fillId="0" borderId="10" xfId="0" applyNumberFormat="1" applyBorder="1" applyAlignment="1" applyProtection="1">
      <alignment horizontal="center" vertical="center"/>
      <protection/>
    </xf>
    <xf numFmtId="174" fontId="0" fillId="0" borderId="39" xfId="0" applyNumberFormat="1" applyBorder="1" applyAlignment="1" applyProtection="1">
      <alignment horizontal="center" vertical="center"/>
      <protection/>
    </xf>
    <xf numFmtId="174" fontId="0" fillId="0" borderId="41" xfId="0" applyNumberFormat="1" applyBorder="1" applyAlignment="1" applyProtection="1">
      <alignment horizontal="center" vertical="center"/>
      <protection/>
    </xf>
    <xf numFmtId="0" fontId="0" fillId="0" borderId="31" xfId="0" applyBorder="1" applyAlignment="1">
      <alignment/>
    </xf>
    <xf numFmtId="0" fontId="0" fillId="0" borderId="43" xfId="0" applyBorder="1" applyAlignment="1">
      <alignment/>
    </xf>
    <xf numFmtId="0" fontId="0" fillId="0" borderId="23" xfId="0" applyBorder="1" applyAlignment="1">
      <alignment/>
    </xf>
    <xf numFmtId="0" fontId="2" fillId="0" borderId="15" xfId="0" applyFont="1" applyBorder="1" applyAlignment="1" applyProtection="1">
      <alignment horizontal="right"/>
      <protection/>
    </xf>
    <xf numFmtId="1" fontId="0" fillId="0" borderId="26" xfId="0" applyNumberFormat="1" applyFont="1" applyBorder="1" applyAlignment="1" applyProtection="1">
      <alignment horizontal="left" vertical="top"/>
      <protection/>
    </xf>
    <xf numFmtId="0" fontId="0" fillId="0" borderId="27" xfId="0" applyFont="1" applyBorder="1" applyAlignment="1" applyProtection="1">
      <alignment horizontal="right" vertical="top"/>
      <protection/>
    </xf>
    <xf numFmtId="174" fontId="0" fillId="0" borderId="28" xfId="0" applyNumberFormat="1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right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174" fontId="0" fillId="0" borderId="28" xfId="0" applyNumberFormat="1" applyFont="1" applyBorder="1" applyAlignment="1" applyProtection="1">
      <alignment horizontal="center" vertical="center"/>
      <protection/>
    </xf>
    <xf numFmtId="174" fontId="0" fillId="0" borderId="13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>
      <alignment vertical="center"/>
    </xf>
    <xf numFmtId="0" fontId="5" fillId="24" borderId="1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Alignment="1">
      <alignment/>
    </xf>
    <xf numFmtId="0" fontId="1" fillId="0" borderId="25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left"/>
      <protection locked="0"/>
    </xf>
    <xf numFmtId="14" fontId="0" fillId="0" borderId="21" xfId="0" applyNumberFormat="1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174" fontId="0" fillId="0" borderId="11" xfId="0" applyNumberFormat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/>
      <protection locked="0"/>
    </xf>
    <xf numFmtId="0" fontId="6" fillId="25" borderId="0" xfId="0" applyFont="1" applyFill="1" applyAlignment="1">
      <alignment horizontal="center" vertical="center" wrapText="1"/>
    </xf>
    <xf numFmtId="0" fontId="5" fillId="0" borderId="10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174" fontId="0" fillId="0" borderId="10" xfId="0" applyNumberFormat="1" applyBorder="1" applyAlignment="1" applyProtection="1">
      <alignment horizontal="center" vertical="center"/>
      <protection/>
    </xf>
    <xf numFmtId="0" fontId="6" fillId="25" borderId="21" xfId="0" applyFont="1" applyFill="1" applyBorder="1" applyAlignment="1">
      <alignment horizontal="center" vertical="center" wrapText="1"/>
    </xf>
    <xf numFmtId="0" fontId="0" fillId="0" borderId="32" xfId="0" applyBorder="1" applyAlignment="1" applyProtection="1">
      <alignment horizontal="left"/>
      <protection locked="0"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39" xfId="0" applyBorder="1" applyAlignment="1" applyProtection="1">
      <alignment horizontal="left" vertical="center"/>
      <protection/>
    </xf>
    <xf numFmtId="0" fontId="0" fillId="0" borderId="46" xfId="0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 horizontal="left" vertical="center"/>
      <protection/>
    </xf>
    <xf numFmtId="174" fontId="0" fillId="0" borderId="41" xfId="0" applyNumberFormat="1" applyBorder="1" applyAlignment="1" applyProtection="1">
      <alignment horizontal="center" vertical="center"/>
      <protection/>
    </xf>
    <xf numFmtId="174" fontId="0" fillId="0" borderId="39" xfId="0" applyNumberFormat="1" applyBorder="1" applyAlignment="1" applyProtection="1">
      <alignment horizontal="center" vertical="center"/>
      <protection/>
    </xf>
    <xf numFmtId="0" fontId="0" fillId="0" borderId="0" xfId="0" applyAlignment="1">
      <alignment horizontal="left"/>
    </xf>
    <xf numFmtId="0" fontId="0" fillId="24" borderId="0" xfId="0" applyFill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7</xdr:row>
      <xdr:rowOff>190500</xdr:rowOff>
    </xdr:from>
    <xdr:to>
      <xdr:col>4</xdr:col>
      <xdr:colOff>66675</xdr:colOff>
      <xdr:row>8</xdr:row>
      <xdr:rowOff>66675</xdr:rowOff>
    </xdr:to>
    <xdr:sp>
      <xdr:nvSpPr>
        <xdr:cNvPr id="1" name="Oval 1"/>
        <xdr:cNvSpPr>
          <a:spLocks/>
        </xdr:cNvSpPr>
      </xdr:nvSpPr>
      <xdr:spPr>
        <a:xfrm>
          <a:off x="2590800" y="2057400"/>
          <a:ext cx="142875" cy="1428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304800</xdr:colOff>
      <xdr:row>7</xdr:row>
      <xdr:rowOff>190500</xdr:rowOff>
    </xdr:from>
    <xdr:to>
      <xdr:col>6</xdr:col>
      <xdr:colOff>66675</xdr:colOff>
      <xdr:row>8</xdr:row>
      <xdr:rowOff>66675</xdr:rowOff>
    </xdr:to>
    <xdr:sp>
      <xdr:nvSpPr>
        <xdr:cNvPr id="2" name="Oval 2"/>
        <xdr:cNvSpPr>
          <a:spLocks/>
        </xdr:cNvSpPr>
      </xdr:nvSpPr>
      <xdr:spPr>
        <a:xfrm>
          <a:off x="3352800" y="2057400"/>
          <a:ext cx="142875" cy="1428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304800</xdr:colOff>
      <xdr:row>7</xdr:row>
      <xdr:rowOff>190500</xdr:rowOff>
    </xdr:from>
    <xdr:to>
      <xdr:col>8</xdr:col>
      <xdr:colOff>66675</xdr:colOff>
      <xdr:row>8</xdr:row>
      <xdr:rowOff>66675</xdr:rowOff>
    </xdr:to>
    <xdr:sp>
      <xdr:nvSpPr>
        <xdr:cNvPr id="3" name="Oval 3"/>
        <xdr:cNvSpPr>
          <a:spLocks/>
        </xdr:cNvSpPr>
      </xdr:nvSpPr>
      <xdr:spPr>
        <a:xfrm>
          <a:off x="4114800" y="2057400"/>
          <a:ext cx="142875" cy="1428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304800</xdr:colOff>
      <xdr:row>9</xdr:row>
      <xdr:rowOff>190500</xdr:rowOff>
    </xdr:from>
    <xdr:to>
      <xdr:col>2</xdr:col>
      <xdr:colOff>66675</xdr:colOff>
      <xdr:row>10</xdr:row>
      <xdr:rowOff>66675</xdr:rowOff>
    </xdr:to>
    <xdr:sp>
      <xdr:nvSpPr>
        <xdr:cNvPr id="4" name="Oval 4"/>
        <xdr:cNvSpPr>
          <a:spLocks/>
        </xdr:cNvSpPr>
      </xdr:nvSpPr>
      <xdr:spPr>
        <a:xfrm>
          <a:off x="1828800" y="2590800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304800</xdr:colOff>
      <xdr:row>9</xdr:row>
      <xdr:rowOff>190500</xdr:rowOff>
    </xdr:from>
    <xdr:to>
      <xdr:col>6</xdr:col>
      <xdr:colOff>66675</xdr:colOff>
      <xdr:row>10</xdr:row>
      <xdr:rowOff>66675</xdr:rowOff>
    </xdr:to>
    <xdr:sp>
      <xdr:nvSpPr>
        <xdr:cNvPr id="5" name="Oval 5"/>
        <xdr:cNvSpPr>
          <a:spLocks/>
        </xdr:cNvSpPr>
      </xdr:nvSpPr>
      <xdr:spPr>
        <a:xfrm>
          <a:off x="3352800" y="2590800"/>
          <a:ext cx="142875" cy="1428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304800</xdr:colOff>
      <xdr:row>9</xdr:row>
      <xdr:rowOff>190500</xdr:rowOff>
    </xdr:from>
    <xdr:to>
      <xdr:col>8</xdr:col>
      <xdr:colOff>66675</xdr:colOff>
      <xdr:row>10</xdr:row>
      <xdr:rowOff>66675</xdr:rowOff>
    </xdr:to>
    <xdr:sp>
      <xdr:nvSpPr>
        <xdr:cNvPr id="6" name="Oval 6"/>
        <xdr:cNvSpPr>
          <a:spLocks/>
        </xdr:cNvSpPr>
      </xdr:nvSpPr>
      <xdr:spPr>
        <a:xfrm>
          <a:off x="4114800" y="2590800"/>
          <a:ext cx="142875" cy="1428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304800</xdr:colOff>
      <xdr:row>11</xdr:row>
      <xdr:rowOff>209550</xdr:rowOff>
    </xdr:from>
    <xdr:to>
      <xdr:col>2</xdr:col>
      <xdr:colOff>66675</xdr:colOff>
      <xdr:row>12</xdr:row>
      <xdr:rowOff>85725</xdr:rowOff>
    </xdr:to>
    <xdr:sp>
      <xdr:nvSpPr>
        <xdr:cNvPr id="7" name="Oval 7"/>
        <xdr:cNvSpPr>
          <a:spLocks/>
        </xdr:cNvSpPr>
      </xdr:nvSpPr>
      <xdr:spPr>
        <a:xfrm>
          <a:off x="1828800" y="3143250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304800</xdr:colOff>
      <xdr:row>11</xdr:row>
      <xdr:rowOff>190500</xdr:rowOff>
    </xdr:from>
    <xdr:to>
      <xdr:col>4</xdr:col>
      <xdr:colOff>66675</xdr:colOff>
      <xdr:row>12</xdr:row>
      <xdr:rowOff>66675</xdr:rowOff>
    </xdr:to>
    <xdr:sp>
      <xdr:nvSpPr>
        <xdr:cNvPr id="8" name="Oval 8"/>
        <xdr:cNvSpPr>
          <a:spLocks/>
        </xdr:cNvSpPr>
      </xdr:nvSpPr>
      <xdr:spPr>
        <a:xfrm>
          <a:off x="2590800" y="3124200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304800</xdr:colOff>
      <xdr:row>11</xdr:row>
      <xdr:rowOff>190500</xdr:rowOff>
    </xdr:from>
    <xdr:to>
      <xdr:col>8</xdr:col>
      <xdr:colOff>66675</xdr:colOff>
      <xdr:row>12</xdr:row>
      <xdr:rowOff>66675</xdr:rowOff>
    </xdr:to>
    <xdr:sp>
      <xdr:nvSpPr>
        <xdr:cNvPr id="9" name="Oval 9"/>
        <xdr:cNvSpPr>
          <a:spLocks/>
        </xdr:cNvSpPr>
      </xdr:nvSpPr>
      <xdr:spPr>
        <a:xfrm>
          <a:off x="4114800" y="3124200"/>
          <a:ext cx="142875" cy="142875"/>
        </a:xfrm>
        <a:prstGeom prst="ellipse">
          <a:avLst/>
        </a:prstGeom>
        <a:pattFill prst="wd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304800</xdr:colOff>
      <xdr:row>13</xdr:row>
      <xdr:rowOff>190500</xdr:rowOff>
    </xdr:from>
    <xdr:to>
      <xdr:col>2</xdr:col>
      <xdr:colOff>66675</xdr:colOff>
      <xdr:row>14</xdr:row>
      <xdr:rowOff>66675</xdr:rowOff>
    </xdr:to>
    <xdr:sp>
      <xdr:nvSpPr>
        <xdr:cNvPr id="10" name="Oval 10"/>
        <xdr:cNvSpPr>
          <a:spLocks/>
        </xdr:cNvSpPr>
      </xdr:nvSpPr>
      <xdr:spPr>
        <a:xfrm>
          <a:off x="1828800" y="3657600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304800</xdr:colOff>
      <xdr:row>13</xdr:row>
      <xdr:rowOff>190500</xdr:rowOff>
    </xdr:from>
    <xdr:to>
      <xdr:col>4</xdr:col>
      <xdr:colOff>66675</xdr:colOff>
      <xdr:row>14</xdr:row>
      <xdr:rowOff>66675</xdr:rowOff>
    </xdr:to>
    <xdr:sp>
      <xdr:nvSpPr>
        <xdr:cNvPr id="11" name="Oval 11"/>
        <xdr:cNvSpPr>
          <a:spLocks/>
        </xdr:cNvSpPr>
      </xdr:nvSpPr>
      <xdr:spPr>
        <a:xfrm>
          <a:off x="2590800" y="3657600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304800</xdr:colOff>
      <xdr:row>13</xdr:row>
      <xdr:rowOff>190500</xdr:rowOff>
    </xdr:from>
    <xdr:to>
      <xdr:col>6</xdr:col>
      <xdr:colOff>66675</xdr:colOff>
      <xdr:row>14</xdr:row>
      <xdr:rowOff>66675</xdr:rowOff>
    </xdr:to>
    <xdr:sp>
      <xdr:nvSpPr>
        <xdr:cNvPr id="12" name="Oval 12"/>
        <xdr:cNvSpPr>
          <a:spLocks/>
        </xdr:cNvSpPr>
      </xdr:nvSpPr>
      <xdr:spPr>
        <a:xfrm>
          <a:off x="3352800" y="3657600"/>
          <a:ext cx="142875" cy="142875"/>
        </a:xfrm>
        <a:prstGeom prst="ellipse">
          <a:avLst/>
        </a:prstGeom>
        <a:pattFill prst="wd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304800</xdr:colOff>
      <xdr:row>18</xdr:row>
      <xdr:rowOff>190500</xdr:rowOff>
    </xdr:from>
    <xdr:to>
      <xdr:col>4</xdr:col>
      <xdr:colOff>66675</xdr:colOff>
      <xdr:row>19</xdr:row>
      <xdr:rowOff>66675</xdr:rowOff>
    </xdr:to>
    <xdr:sp>
      <xdr:nvSpPr>
        <xdr:cNvPr id="13" name="Oval 13"/>
        <xdr:cNvSpPr>
          <a:spLocks/>
        </xdr:cNvSpPr>
      </xdr:nvSpPr>
      <xdr:spPr>
        <a:xfrm>
          <a:off x="2590800" y="4991100"/>
          <a:ext cx="142875" cy="1428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304800</xdr:colOff>
      <xdr:row>18</xdr:row>
      <xdr:rowOff>190500</xdr:rowOff>
    </xdr:from>
    <xdr:to>
      <xdr:col>6</xdr:col>
      <xdr:colOff>66675</xdr:colOff>
      <xdr:row>19</xdr:row>
      <xdr:rowOff>66675</xdr:rowOff>
    </xdr:to>
    <xdr:sp>
      <xdr:nvSpPr>
        <xdr:cNvPr id="14" name="Oval 14"/>
        <xdr:cNvSpPr>
          <a:spLocks/>
        </xdr:cNvSpPr>
      </xdr:nvSpPr>
      <xdr:spPr>
        <a:xfrm>
          <a:off x="3352800" y="4991100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304800</xdr:colOff>
      <xdr:row>18</xdr:row>
      <xdr:rowOff>190500</xdr:rowOff>
    </xdr:from>
    <xdr:to>
      <xdr:col>8</xdr:col>
      <xdr:colOff>66675</xdr:colOff>
      <xdr:row>19</xdr:row>
      <xdr:rowOff>66675</xdr:rowOff>
    </xdr:to>
    <xdr:sp>
      <xdr:nvSpPr>
        <xdr:cNvPr id="15" name="Oval 15"/>
        <xdr:cNvSpPr>
          <a:spLocks/>
        </xdr:cNvSpPr>
      </xdr:nvSpPr>
      <xdr:spPr>
        <a:xfrm>
          <a:off x="4114800" y="4991100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304800</xdr:colOff>
      <xdr:row>20</xdr:row>
      <xdr:rowOff>190500</xdr:rowOff>
    </xdr:from>
    <xdr:to>
      <xdr:col>2</xdr:col>
      <xdr:colOff>66675</xdr:colOff>
      <xdr:row>21</xdr:row>
      <xdr:rowOff>66675</xdr:rowOff>
    </xdr:to>
    <xdr:sp>
      <xdr:nvSpPr>
        <xdr:cNvPr id="16" name="Oval 16"/>
        <xdr:cNvSpPr>
          <a:spLocks/>
        </xdr:cNvSpPr>
      </xdr:nvSpPr>
      <xdr:spPr>
        <a:xfrm>
          <a:off x="1828800" y="5524500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304800</xdr:colOff>
      <xdr:row>20</xdr:row>
      <xdr:rowOff>190500</xdr:rowOff>
    </xdr:from>
    <xdr:to>
      <xdr:col>6</xdr:col>
      <xdr:colOff>66675</xdr:colOff>
      <xdr:row>21</xdr:row>
      <xdr:rowOff>66675</xdr:rowOff>
    </xdr:to>
    <xdr:sp>
      <xdr:nvSpPr>
        <xdr:cNvPr id="17" name="Oval 17"/>
        <xdr:cNvSpPr>
          <a:spLocks/>
        </xdr:cNvSpPr>
      </xdr:nvSpPr>
      <xdr:spPr>
        <a:xfrm>
          <a:off x="3352800" y="5524500"/>
          <a:ext cx="142875" cy="1428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304800</xdr:colOff>
      <xdr:row>20</xdr:row>
      <xdr:rowOff>190500</xdr:rowOff>
    </xdr:from>
    <xdr:to>
      <xdr:col>8</xdr:col>
      <xdr:colOff>66675</xdr:colOff>
      <xdr:row>21</xdr:row>
      <xdr:rowOff>66675</xdr:rowOff>
    </xdr:to>
    <xdr:sp>
      <xdr:nvSpPr>
        <xdr:cNvPr id="18" name="Oval 18"/>
        <xdr:cNvSpPr>
          <a:spLocks/>
        </xdr:cNvSpPr>
      </xdr:nvSpPr>
      <xdr:spPr>
        <a:xfrm>
          <a:off x="4114800" y="5524500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304800</xdr:colOff>
      <xdr:row>22</xdr:row>
      <xdr:rowOff>190500</xdr:rowOff>
    </xdr:from>
    <xdr:to>
      <xdr:col>2</xdr:col>
      <xdr:colOff>66675</xdr:colOff>
      <xdr:row>23</xdr:row>
      <xdr:rowOff>66675</xdr:rowOff>
    </xdr:to>
    <xdr:sp>
      <xdr:nvSpPr>
        <xdr:cNvPr id="19" name="Oval 19"/>
        <xdr:cNvSpPr>
          <a:spLocks/>
        </xdr:cNvSpPr>
      </xdr:nvSpPr>
      <xdr:spPr>
        <a:xfrm>
          <a:off x="1828800" y="6057900"/>
          <a:ext cx="142875" cy="1428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304800</xdr:colOff>
      <xdr:row>22</xdr:row>
      <xdr:rowOff>190500</xdr:rowOff>
    </xdr:from>
    <xdr:to>
      <xdr:col>4</xdr:col>
      <xdr:colOff>66675</xdr:colOff>
      <xdr:row>23</xdr:row>
      <xdr:rowOff>66675</xdr:rowOff>
    </xdr:to>
    <xdr:sp>
      <xdr:nvSpPr>
        <xdr:cNvPr id="20" name="Oval 20"/>
        <xdr:cNvSpPr>
          <a:spLocks/>
        </xdr:cNvSpPr>
      </xdr:nvSpPr>
      <xdr:spPr>
        <a:xfrm>
          <a:off x="2590800" y="6057900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304800</xdr:colOff>
      <xdr:row>22</xdr:row>
      <xdr:rowOff>190500</xdr:rowOff>
    </xdr:from>
    <xdr:to>
      <xdr:col>8</xdr:col>
      <xdr:colOff>66675</xdr:colOff>
      <xdr:row>23</xdr:row>
      <xdr:rowOff>66675</xdr:rowOff>
    </xdr:to>
    <xdr:sp>
      <xdr:nvSpPr>
        <xdr:cNvPr id="21" name="Oval 21"/>
        <xdr:cNvSpPr>
          <a:spLocks/>
        </xdr:cNvSpPr>
      </xdr:nvSpPr>
      <xdr:spPr>
        <a:xfrm>
          <a:off x="4114800" y="6057900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304800</xdr:colOff>
      <xdr:row>24</xdr:row>
      <xdr:rowOff>190500</xdr:rowOff>
    </xdr:from>
    <xdr:to>
      <xdr:col>2</xdr:col>
      <xdr:colOff>66675</xdr:colOff>
      <xdr:row>25</xdr:row>
      <xdr:rowOff>66675</xdr:rowOff>
    </xdr:to>
    <xdr:sp>
      <xdr:nvSpPr>
        <xdr:cNvPr id="22" name="Oval 22"/>
        <xdr:cNvSpPr>
          <a:spLocks/>
        </xdr:cNvSpPr>
      </xdr:nvSpPr>
      <xdr:spPr>
        <a:xfrm>
          <a:off x="1828800" y="6591300"/>
          <a:ext cx="142875" cy="1428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304800</xdr:colOff>
      <xdr:row>24</xdr:row>
      <xdr:rowOff>190500</xdr:rowOff>
    </xdr:from>
    <xdr:to>
      <xdr:col>4</xdr:col>
      <xdr:colOff>66675</xdr:colOff>
      <xdr:row>25</xdr:row>
      <xdr:rowOff>66675</xdr:rowOff>
    </xdr:to>
    <xdr:sp>
      <xdr:nvSpPr>
        <xdr:cNvPr id="23" name="Oval 23"/>
        <xdr:cNvSpPr>
          <a:spLocks/>
        </xdr:cNvSpPr>
      </xdr:nvSpPr>
      <xdr:spPr>
        <a:xfrm>
          <a:off x="2590800" y="6591300"/>
          <a:ext cx="142875" cy="1428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304800</xdr:colOff>
      <xdr:row>24</xdr:row>
      <xdr:rowOff>190500</xdr:rowOff>
    </xdr:from>
    <xdr:to>
      <xdr:col>6</xdr:col>
      <xdr:colOff>66675</xdr:colOff>
      <xdr:row>25</xdr:row>
      <xdr:rowOff>66675</xdr:rowOff>
    </xdr:to>
    <xdr:sp>
      <xdr:nvSpPr>
        <xdr:cNvPr id="24" name="Oval 24"/>
        <xdr:cNvSpPr>
          <a:spLocks/>
        </xdr:cNvSpPr>
      </xdr:nvSpPr>
      <xdr:spPr>
        <a:xfrm>
          <a:off x="3352800" y="6591300"/>
          <a:ext cx="142875" cy="1428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O74"/>
  <sheetViews>
    <sheetView tabSelected="1" zoomScale="90" zoomScaleNormal="90" zoomScalePageLayoutView="0" workbookViewId="0" topLeftCell="A25">
      <selection activeCell="O61" sqref="O61"/>
    </sheetView>
  </sheetViews>
  <sheetFormatPr defaultColWidth="11.421875" defaultRowHeight="21" customHeight="1"/>
  <cols>
    <col min="1" max="1" width="22.8515625" style="0" customWidth="1"/>
    <col min="2" max="4" width="5.7109375" style="0" customWidth="1"/>
    <col min="5" max="5" width="5.7109375" style="1" customWidth="1"/>
    <col min="6" max="11" width="5.7109375" style="0" customWidth="1"/>
    <col min="12" max="12" width="6.421875" style="0" customWidth="1"/>
    <col min="13" max="13" width="5.7109375" style="0" customWidth="1"/>
    <col min="14" max="14" width="7.00390625" style="0" hidden="1" customWidth="1"/>
    <col min="15" max="15" width="21.28125" style="0" customWidth="1"/>
  </cols>
  <sheetData>
    <row r="1" spans="1:14" ht="21" customHeight="1" thickBot="1">
      <c r="A1" s="13" t="str">
        <f>Eingabe_Allgemein!C11</f>
        <v>Billardverband Niederrhein e.V.</v>
      </c>
      <c r="B1" s="14"/>
      <c r="C1" s="14"/>
      <c r="D1" s="14"/>
      <c r="E1" s="14"/>
      <c r="F1" s="14"/>
      <c r="G1" s="66" t="str">
        <f>Eingabe_Allgemein!C12</f>
        <v>Saison</v>
      </c>
      <c r="H1" s="15" t="str">
        <f>Eingabe_Allgemein!D12</f>
        <v>2011 / 2012</v>
      </c>
      <c r="I1" s="14"/>
      <c r="J1" s="14"/>
      <c r="K1" s="14"/>
      <c r="L1" s="15" t="s">
        <v>6</v>
      </c>
      <c r="M1" s="16"/>
      <c r="N1" s="17"/>
    </row>
    <row r="2" spans="1:14" ht="21" customHeight="1">
      <c r="A2" s="18" t="s">
        <v>7</v>
      </c>
      <c r="B2" s="19" t="str">
        <f>Eingabe_Allgemein!C13</f>
        <v>2. Kl. Dreiband / 40 B / 40 A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1"/>
      <c r="N2" s="17"/>
    </row>
    <row r="3" spans="1:14" ht="21" customHeight="1">
      <c r="A3" s="22" t="s">
        <v>8</v>
      </c>
      <c r="B3" s="23" t="str">
        <f>Eingabe_Allgemein!C14</f>
        <v>14. - 15.04.2012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  <c r="N3" s="17"/>
    </row>
    <row r="4" spans="1:14" ht="21" customHeight="1" thickBot="1">
      <c r="A4" s="26" t="s">
        <v>9</v>
      </c>
      <c r="B4" s="27" t="str">
        <f>Eingabe_Allgemein!C15</f>
        <v>Billardfreunde Lobberich 1937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9"/>
      <c r="N4" s="17"/>
    </row>
    <row r="5" spans="1:14" ht="21" customHeight="1" thickBot="1">
      <c r="A5" s="30"/>
      <c r="B5" s="30"/>
      <c r="C5" s="30"/>
      <c r="D5" s="30"/>
      <c r="E5" s="31"/>
      <c r="F5" s="30"/>
      <c r="G5" s="30"/>
      <c r="H5" s="30"/>
      <c r="I5" s="30"/>
      <c r="J5" s="30"/>
      <c r="K5" s="30"/>
      <c r="L5" s="30"/>
      <c r="M5" s="30"/>
      <c r="N5" s="17"/>
    </row>
    <row r="6" spans="1:14" ht="21" customHeight="1">
      <c r="A6" s="83" t="s">
        <v>5</v>
      </c>
      <c r="B6" s="115" t="str">
        <f>Eingabe_Allgemein!$D$2</f>
        <v>Krümmel</v>
      </c>
      <c r="C6" s="116"/>
      <c r="D6" s="115" t="str">
        <f>Eingabe_Allgemein!$D$3</f>
        <v>Roos</v>
      </c>
      <c r="E6" s="116"/>
      <c r="F6" s="115" t="str">
        <f>Eingabe_Allgemein!$D$4</f>
        <v>Patett</v>
      </c>
      <c r="G6" s="116"/>
      <c r="H6" s="115" t="str">
        <f>Eingabe_Allgemein!$D$5</f>
        <v>Löwe</v>
      </c>
      <c r="I6" s="116"/>
      <c r="J6" s="83" t="s">
        <v>0</v>
      </c>
      <c r="K6" s="32" t="s">
        <v>1</v>
      </c>
      <c r="L6" s="33" t="s">
        <v>63</v>
      </c>
      <c r="M6" s="85" t="s">
        <v>4</v>
      </c>
      <c r="N6" s="17"/>
    </row>
    <row r="7" spans="1:14" ht="21" customHeight="1" thickBot="1">
      <c r="A7" s="84"/>
      <c r="B7" s="117"/>
      <c r="C7" s="82"/>
      <c r="D7" s="117"/>
      <c r="E7" s="82"/>
      <c r="F7" s="117"/>
      <c r="G7" s="82"/>
      <c r="H7" s="117"/>
      <c r="I7" s="82"/>
      <c r="J7" s="84"/>
      <c r="K7" s="34" t="s">
        <v>2</v>
      </c>
      <c r="L7" s="35" t="s">
        <v>3</v>
      </c>
      <c r="M7" s="79"/>
      <c r="N7" s="17"/>
    </row>
    <row r="8" spans="1:14" ht="21" customHeight="1">
      <c r="A8" s="36" t="str">
        <f>Eingabe_Allgemein!B2</f>
        <v>Krümmel, Gerd</v>
      </c>
      <c r="B8" s="107">
        <f>GruppeA!M$11</f>
        <v>4</v>
      </c>
      <c r="C8" s="108"/>
      <c r="D8" s="67">
        <f>GruppeA!$D$17</f>
        <v>25</v>
      </c>
      <c r="E8" s="68">
        <f>GruppeA!$E$17</f>
        <v>40</v>
      </c>
      <c r="F8" s="67">
        <f>GruppeA!$D$18</f>
        <v>21</v>
      </c>
      <c r="G8" s="68">
        <f>GruppeA!$E$18</f>
        <v>40</v>
      </c>
      <c r="H8" s="67">
        <f>GruppeA!$D$19</f>
        <v>15</v>
      </c>
      <c r="I8" s="68">
        <f>GruppeA!$E$19</f>
        <v>40</v>
      </c>
      <c r="J8" s="83">
        <f>GruppeA!H$11</f>
        <v>0</v>
      </c>
      <c r="K8" s="71">
        <f>GruppeA!$D$11</f>
        <v>61</v>
      </c>
      <c r="L8" s="72">
        <f>GruppeA!$E$11</f>
        <v>120</v>
      </c>
      <c r="M8" s="83">
        <f>GruppeA!$G$11</f>
        <v>4</v>
      </c>
      <c r="N8" s="17"/>
    </row>
    <row r="9" spans="1:14" ht="21" customHeight="1" thickBot="1">
      <c r="A9" s="37" t="str">
        <f>Eingabe_Allgemein!C2</f>
        <v>BSV Velbert</v>
      </c>
      <c r="B9" s="109"/>
      <c r="C9" s="110"/>
      <c r="D9" s="69">
        <f>GruppeA!$F$17</f>
        <v>0.625</v>
      </c>
      <c r="E9" s="70">
        <f>GruppeA!$G$17</f>
        <v>3</v>
      </c>
      <c r="F9" s="69">
        <f>GruppeA!$F$18</f>
        <v>0.525</v>
      </c>
      <c r="G9" s="70">
        <f>GruppeA!$G$18</f>
        <v>4</v>
      </c>
      <c r="H9" s="69">
        <f>GruppeA!$F$19</f>
        <v>0.375</v>
      </c>
      <c r="I9" s="70">
        <f>GruppeA!$G$19</f>
        <v>4</v>
      </c>
      <c r="J9" s="84"/>
      <c r="K9" s="73">
        <f>GruppeA!$N$11</f>
        <v>0.508</v>
      </c>
      <c r="L9" s="74" t="str">
        <f>IF(GruppeA!$I$11&gt;0,GruppeA!$I$11,"---")</f>
        <v>---</v>
      </c>
      <c r="M9" s="84"/>
      <c r="N9" s="17"/>
    </row>
    <row r="10" spans="1:14" ht="21" customHeight="1">
      <c r="A10" s="36" t="str">
        <f>Eingabe_Allgemein!B3</f>
        <v>Roos, Dirk</v>
      </c>
      <c r="B10" s="67">
        <f>GruppeA!$D$25</f>
        <v>30</v>
      </c>
      <c r="C10" s="68">
        <f>GruppeA!$E$25</f>
        <v>40</v>
      </c>
      <c r="D10" s="111">
        <f>GruppeA!M$12</f>
        <v>3</v>
      </c>
      <c r="E10" s="112"/>
      <c r="F10" s="67">
        <f>GruppeA!$D$26</f>
        <v>26</v>
      </c>
      <c r="G10" s="68">
        <f>GruppeA!$E$26</f>
        <v>40</v>
      </c>
      <c r="H10" s="67">
        <f>GruppeA!$D$27</f>
        <v>21</v>
      </c>
      <c r="I10" s="68">
        <f>GruppeA!$E$27</f>
        <v>33</v>
      </c>
      <c r="J10" s="83">
        <f>GruppeA!H$12</f>
        <v>2</v>
      </c>
      <c r="K10" s="71">
        <f>GruppeA!$D$12</f>
        <v>77</v>
      </c>
      <c r="L10" s="72">
        <f>GruppeA!$E$12</f>
        <v>113</v>
      </c>
      <c r="M10" s="83">
        <f>GruppeA!$G$12</f>
        <v>4</v>
      </c>
      <c r="N10" s="17"/>
    </row>
    <row r="11" spans="1:14" ht="21" customHeight="1" thickBot="1">
      <c r="A11" s="37" t="str">
        <f>Eingabe_Allgemein!C3</f>
        <v>BC Rot-Weiß Opladen 1934</v>
      </c>
      <c r="B11" s="69">
        <f>GruppeA!$F$25</f>
        <v>0.75</v>
      </c>
      <c r="C11" s="70">
        <f>GruppeA!$G$25</f>
        <v>3</v>
      </c>
      <c r="D11" s="113"/>
      <c r="E11" s="114"/>
      <c r="F11" s="69">
        <f>GruppeA!$F$26</f>
        <v>0.65</v>
      </c>
      <c r="G11" s="70">
        <f>GruppeA!$G$26</f>
        <v>4</v>
      </c>
      <c r="H11" s="69">
        <f>GruppeA!$F$27</f>
        <v>0.636</v>
      </c>
      <c r="I11" s="70">
        <f>GruppeA!$G$27</f>
        <v>3</v>
      </c>
      <c r="J11" s="84"/>
      <c r="K11" s="73">
        <f>GruppeA!$N$12</f>
        <v>0.681</v>
      </c>
      <c r="L11" s="74">
        <f>IF(GruppeA!$I$12&gt;0,GruppeA!$I$12,"---")</f>
        <v>0.75</v>
      </c>
      <c r="M11" s="84"/>
      <c r="N11" s="17"/>
    </row>
    <row r="12" spans="1:14" ht="21" customHeight="1">
      <c r="A12" s="36" t="str">
        <f>Eingabe_Allgemein!B4</f>
        <v>Patett, Andreas</v>
      </c>
      <c r="B12" s="67">
        <f>GruppeA!$D$33</f>
        <v>23</v>
      </c>
      <c r="C12" s="68">
        <f>GruppeA!$E$33</f>
        <v>40</v>
      </c>
      <c r="D12" s="67">
        <f>GruppeA!$D$34</f>
        <v>30</v>
      </c>
      <c r="E12" s="68">
        <f>GruppeA!$E$34</f>
        <v>40</v>
      </c>
      <c r="F12" s="107">
        <f>GruppeA!M$13</f>
        <v>2</v>
      </c>
      <c r="G12" s="108"/>
      <c r="H12" s="67">
        <f>GruppeA!$D$35</f>
        <v>36</v>
      </c>
      <c r="I12" s="68">
        <f>GruppeA!$E$35</f>
        <v>40</v>
      </c>
      <c r="J12" s="83">
        <f>GruppeA!H$13</f>
        <v>5</v>
      </c>
      <c r="K12" s="71">
        <f>GruppeA!$D$13</f>
        <v>89</v>
      </c>
      <c r="L12" s="72">
        <f>GruppeA!$E$13</f>
        <v>120</v>
      </c>
      <c r="M12" s="83">
        <f>GruppeA!$G$13</f>
        <v>4</v>
      </c>
      <c r="N12" s="17"/>
    </row>
    <row r="13" spans="1:14" ht="21" customHeight="1" thickBot="1">
      <c r="A13" s="37" t="str">
        <f>Eingabe_Allgemein!C4</f>
        <v>BSG Duisburg</v>
      </c>
      <c r="B13" s="69">
        <f>GruppeA!$F$33</f>
        <v>0.575</v>
      </c>
      <c r="C13" s="70">
        <f>GruppeA!$G$33</f>
        <v>4</v>
      </c>
      <c r="D13" s="69">
        <f>GruppeA!$F$34</f>
        <v>0.75</v>
      </c>
      <c r="E13" s="70">
        <f>GruppeA!$G$34</f>
        <v>3</v>
      </c>
      <c r="F13" s="109"/>
      <c r="G13" s="110"/>
      <c r="H13" s="69">
        <f>GruppeA!$F$35</f>
        <v>0.9</v>
      </c>
      <c r="I13" s="70">
        <f>GruppeA!$G$35</f>
        <v>4</v>
      </c>
      <c r="J13" s="84"/>
      <c r="K13" s="73">
        <f>GruppeA!$N$13</f>
        <v>0.741</v>
      </c>
      <c r="L13" s="74">
        <f>IF(GruppeA!$I$13&gt;0,GruppeA!$I$13,"---")</f>
        <v>0.9</v>
      </c>
      <c r="M13" s="84"/>
      <c r="N13" s="17"/>
    </row>
    <row r="14" spans="1:14" ht="21" customHeight="1">
      <c r="A14" s="36" t="str">
        <f>Eingabe_Allgemein!B5</f>
        <v>Löwe, Tom</v>
      </c>
      <c r="B14" s="67">
        <f>GruppeA!$D$41</f>
        <v>37</v>
      </c>
      <c r="C14" s="68">
        <f>GruppeA!$E$41</f>
        <v>40</v>
      </c>
      <c r="D14" s="67">
        <f>GruppeA!$D$42</f>
        <v>40</v>
      </c>
      <c r="E14" s="68">
        <f>GruppeA!$E$42</f>
        <v>33</v>
      </c>
      <c r="F14" s="67">
        <f>GruppeA!$D$43</f>
        <v>36</v>
      </c>
      <c r="G14" s="68">
        <f>GruppeA!$E$43</f>
        <v>40</v>
      </c>
      <c r="H14" s="107">
        <f>GruppeA!M$14</f>
        <v>1</v>
      </c>
      <c r="I14" s="108"/>
      <c r="J14" s="83">
        <f>GruppeA!H$14</f>
        <v>5</v>
      </c>
      <c r="K14" s="71">
        <f>GruppeA!$D$14</f>
        <v>113</v>
      </c>
      <c r="L14" s="72">
        <f>GruppeA!$E$14</f>
        <v>113</v>
      </c>
      <c r="M14" s="83">
        <f>GruppeA!$G$14</f>
        <v>8</v>
      </c>
      <c r="N14" s="17"/>
    </row>
    <row r="15" spans="1:14" ht="21" customHeight="1" thickBot="1">
      <c r="A15" s="37" t="str">
        <f>Eingabe_Allgemein!C5</f>
        <v>BF Lobberich 1937</v>
      </c>
      <c r="B15" s="69">
        <f>GruppeA!$F$41</f>
        <v>0.925</v>
      </c>
      <c r="C15" s="70">
        <f>GruppeA!$G$41</f>
        <v>4</v>
      </c>
      <c r="D15" s="69">
        <f>GruppeA!$F$42</f>
        <v>1.212</v>
      </c>
      <c r="E15" s="70">
        <f>GruppeA!$G$42</f>
        <v>8</v>
      </c>
      <c r="F15" s="69">
        <f>GruppeA!$F$43</f>
        <v>0.9</v>
      </c>
      <c r="G15" s="70">
        <f>GruppeA!$G$43</f>
        <v>6</v>
      </c>
      <c r="H15" s="109"/>
      <c r="I15" s="110"/>
      <c r="J15" s="84"/>
      <c r="K15" s="73">
        <f>GruppeA!$N$14</f>
        <v>1</v>
      </c>
      <c r="L15" s="74">
        <f>IF(GruppeA!$I$14&gt;0,GruppeA!$I$14,"---")</f>
        <v>1.212</v>
      </c>
      <c r="M15" s="84"/>
      <c r="N15" s="17"/>
    </row>
    <row r="16" spans="1:14" ht="21" customHeight="1" thickBot="1">
      <c r="A16" s="17"/>
      <c r="B16" s="17"/>
      <c r="C16" s="17"/>
      <c r="D16" s="17"/>
      <c r="E16" s="38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21" customHeight="1">
      <c r="A17" s="83" t="s">
        <v>10</v>
      </c>
      <c r="B17" s="115" t="str">
        <f>Eingabe_Allgemein!$D$6</f>
        <v>Pauly</v>
      </c>
      <c r="C17" s="116"/>
      <c r="D17" s="115" t="str">
        <f>Eingabe_Allgemein!$D$7</f>
        <v>Siebes</v>
      </c>
      <c r="E17" s="116"/>
      <c r="F17" s="115" t="str">
        <f>Eingabe_Allgemein!$D$8</f>
        <v>Mönning</v>
      </c>
      <c r="G17" s="116"/>
      <c r="H17" s="115" t="str">
        <f>Eingabe_Allgemein!$D$9</f>
        <v>Aust</v>
      </c>
      <c r="I17" s="116"/>
      <c r="J17" s="83" t="s">
        <v>0</v>
      </c>
      <c r="K17" s="32" t="s">
        <v>1</v>
      </c>
      <c r="L17" s="33" t="s">
        <v>63</v>
      </c>
      <c r="M17" s="85" t="s">
        <v>4</v>
      </c>
      <c r="N17" s="17"/>
    </row>
    <row r="18" spans="1:14" ht="21" customHeight="1" thickBot="1">
      <c r="A18" s="84"/>
      <c r="B18" s="117"/>
      <c r="C18" s="82"/>
      <c r="D18" s="117"/>
      <c r="E18" s="82"/>
      <c r="F18" s="117"/>
      <c r="G18" s="82"/>
      <c r="H18" s="117"/>
      <c r="I18" s="82"/>
      <c r="J18" s="84"/>
      <c r="K18" s="34" t="s">
        <v>2</v>
      </c>
      <c r="L18" s="35" t="s">
        <v>3</v>
      </c>
      <c r="M18" s="79"/>
      <c r="N18" s="17"/>
    </row>
    <row r="19" spans="1:14" ht="21" customHeight="1">
      <c r="A19" s="36" t="str">
        <f>Eingabe_Allgemein!B6</f>
        <v>Pauly, Marc</v>
      </c>
      <c r="B19" s="107">
        <f>GruppeB!M$11</f>
        <v>3</v>
      </c>
      <c r="C19" s="108"/>
      <c r="D19" s="67">
        <f>GruppeB!$D$17</f>
        <v>24</v>
      </c>
      <c r="E19" s="68">
        <f>GruppeB!$E$17</f>
        <v>37</v>
      </c>
      <c r="F19" s="67">
        <f>GruppeB!$D$18</f>
        <v>29</v>
      </c>
      <c r="G19" s="68">
        <f>GruppeB!$E$18</f>
        <v>40</v>
      </c>
      <c r="H19" s="67">
        <f>GruppeB!$D$19</f>
        <v>37</v>
      </c>
      <c r="I19" s="68">
        <f>GruppeB!$E$19</f>
        <v>40</v>
      </c>
      <c r="J19" s="83">
        <f>GruppeB!H$11</f>
        <v>4</v>
      </c>
      <c r="K19" s="71">
        <f>GruppeB!$D$11</f>
        <v>90</v>
      </c>
      <c r="L19" s="72">
        <f>GruppeB!$E$11</f>
        <v>117</v>
      </c>
      <c r="M19" s="83">
        <f>GruppeB!$G$11</f>
        <v>4</v>
      </c>
      <c r="N19" s="17"/>
    </row>
    <row r="20" spans="1:14" ht="21" customHeight="1" thickBot="1">
      <c r="A20" s="37" t="str">
        <f>Eingabe_Allgemein!C6</f>
        <v>BC Ruhrfähre</v>
      </c>
      <c r="B20" s="109"/>
      <c r="C20" s="110"/>
      <c r="D20" s="69">
        <f>GruppeB!$F$17</f>
        <v>0.648</v>
      </c>
      <c r="E20" s="70">
        <f>GruppeB!$G$17</f>
        <v>4</v>
      </c>
      <c r="F20" s="69">
        <f>GruppeB!$F$18</f>
        <v>0.725</v>
      </c>
      <c r="G20" s="70">
        <f>GruppeB!$G$18</f>
        <v>3</v>
      </c>
      <c r="H20" s="69">
        <f>GruppeB!$F$19</f>
        <v>0.925</v>
      </c>
      <c r="I20" s="70">
        <f>GruppeB!$G$19</f>
        <v>4</v>
      </c>
      <c r="J20" s="84"/>
      <c r="K20" s="73">
        <f>GruppeB!$N$11</f>
        <v>0.769</v>
      </c>
      <c r="L20" s="74">
        <f>IF(GruppeB!$I$11&gt;0,GruppeB!$I$11,"---")</f>
        <v>0.925</v>
      </c>
      <c r="M20" s="84"/>
      <c r="N20" s="17"/>
    </row>
    <row r="21" spans="1:14" ht="21" customHeight="1">
      <c r="A21" s="36" t="str">
        <f>Eingabe_Allgemein!B7</f>
        <v>Siebes, Fred</v>
      </c>
      <c r="B21" s="67">
        <f>GruppeB!$D$25</f>
        <v>40</v>
      </c>
      <c r="C21" s="68">
        <f>GruppeB!$E$25</f>
        <v>37</v>
      </c>
      <c r="D21" s="111">
        <f>GruppeB!M$12</f>
        <v>1</v>
      </c>
      <c r="E21" s="112"/>
      <c r="F21" s="67">
        <f>GruppeB!$D$26</f>
        <v>35</v>
      </c>
      <c r="G21" s="68">
        <f>GruppeB!$E$26</f>
        <v>37</v>
      </c>
      <c r="H21" s="67">
        <f>GruppeB!$D$27</f>
        <v>33</v>
      </c>
      <c r="I21" s="68">
        <f>GruppeB!$E$27</f>
        <v>40</v>
      </c>
      <c r="J21" s="83">
        <f>GruppeB!H$12</f>
        <v>4</v>
      </c>
      <c r="K21" s="71">
        <f>GruppeB!$D$12</f>
        <v>108</v>
      </c>
      <c r="L21" s="72">
        <f>GruppeB!$E$12</f>
        <v>114</v>
      </c>
      <c r="M21" s="83">
        <f>GruppeB!$G$12</f>
        <v>5</v>
      </c>
      <c r="N21" s="17"/>
    </row>
    <row r="22" spans="1:14" ht="21" customHeight="1" thickBot="1">
      <c r="A22" s="37" t="str">
        <f>Eingabe_Allgemein!C7</f>
        <v>BF Lobberich 1937</v>
      </c>
      <c r="B22" s="69">
        <f>GruppeB!$F$25</f>
        <v>1.081</v>
      </c>
      <c r="C22" s="70">
        <f>GruppeB!$G$25</f>
        <v>5</v>
      </c>
      <c r="D22" s="113"/>
      <c r="E22" s="114"/>
      <c r="F22" s="69">
        <f>GruppeB!$F$26</f>
        <v>0.945</v>
      </c>
      <c r="G22" s="70">
        <f>GruppeB!$G$26</f>
        <v>5</v>
      </c>
      <c r="H22" s="69">
        <f>GruppeB!$F$27</f>
        <v>0.825</v>
      </c>
      <c r="I22" s="70">
        <f>GruppeB!$G$27</f>
        <v>4</v>
      </c>
      <c r="J22" s="84"/>
      <c r="K22" s="73">
        <f>GruppeB!$N$12</f>
        <v>0.947</v>
      </c>
      <c r="L22" s="74">
        <f>IF(GruppeB!$I$12&gt;0,GruppeB!$I$12,"---")</f>
        <v>1.081</v>
      </c>
      <c r="M22" s="84"/>
      <c r="N22" s="17"/>
    </row>
    <row r="23" spans="1:14" ht="21" customHeight="1">
      <c r="A23" s="36" t="str">
        <f>Eingabe_Allgemein!B8</f>
        <v>Mönning, Ralf</v>
      </c>
      <c r="B23" s="67">
        <f>GruppeB!$D$33</f>
        <v>23</v>
      </c>
      <c r="C23" s="68">
        <f>GruppeB!$E$33</f>
        <v>40</v>
      </c>
      <c r="D23" s="67">
        <f>GruppeB!$D$34</f>
        <v>40</v>
      </c>
      <c r="E23" s="68">
        <f>GruppeB!$E$34</f>
        <v>37</v>
      </c>
      <c r="F23" s="107">
        <f>GruppeB!M$13</f>
        <v>2</v>
      </c>
      <c r="G23" s="108"/>
      <c r="H23" s="67">
        <f>GruppeB!$D$35</f>
        <v>28</v>
      </c>
      <c r="I23" s="68">
        <f>GruppeB!$E$35</f>
        <v>40</v>
      </c>
      <c r="J23" s="83">
        <f>GruppeB!H$13</f>
        <v>4</v>
      </c>
      <c r="K23" s="71">
        <f>GruppeB!$D$13</f>
        <v>91</v>
      </c>
      <c r="L23" s="72">
        <f>GruppeB!$E$13</f>
        <v>117</v>
      </c>
      <c r="M23" s="83">
        <f>GruppeB!$G$13</f>
        <v>6</v>
      </c>
      <c r="N23" s="17"/>
    </row>
    <row r="24" spans="1:14" ht="21" customHeight="1" thickBot="1">
      <c r="A24" s="37" t="str">
        <f>Eingabe_Allgemein!C8</f>
        <v>BC Neviges 60</v>
      </c>
      <c r="B24" s="69">
        <f>GruppeB!$F$33</f>
        <v>0.575</v>
      </c>
      <c r="C24" s="70">
        <f>GruppeB!$G$33</f>
        <v>3</v>
      </c>
      <c r="D24" s="69">
        <f>GruppeB!$F$34</f>
        <v>1.081</v>
      </c>
      <c r="E24" s="70">
        <f>GruppeB!$G$34</f>
        <v>4</v>
      </c>
      <c r="F24" s="109"/>
      <c r="G24" s="110"/>
      <c r="H24" s="69">
        <f>GruppeB!$F$35</f>
        <v>0.7</v>
      </c>
      <c r="I24" s="70">
        <f>GruppeB!$G$35</f>
        <v>6</v>
      </c>
      <c r="J24" s="84"/>
      <c r="K24" s="73">
        <f>GruppeB!$N$13</f>
        <v>0.777</v>
      </c>
      <c r="L24" s="74">
        <f>IF(GruppeB!$I$13&gt;0,GruppeB!$I$13,"---")</f>
        <v>1.081</v>
      </c>
      <c r="M24" s="84"/>
      <c r="N24" s="17"/>
    </row>
    <row r="25" spans="1:14" ht="21" customHeight="1">
      <c r="A25" s="36" t="str">
        <f>Eingabe_Allgemein!B9</f>
        <v>Aust, Andreas</v>
      </c>
      <c r="B25" s="67">
        <f>GruppeB!$D$41</f>
        <v>30</v>
      </c>
      <c r="C25" s="68">
        <f>GruppeB!$E$41</f>
        <v>40</v>
      </c>
      <c r="D25" s="67">
        <f>GruppeB!$D$42</f>
        <v>18</v>
      </c>
      <c r="E25" s="68">
        <f>GruppeB!$E$42</f>
        <v>40</v>
      </c>
      <c r="F25" s="67">
        <f>GruppeB!$D$43</f>
        <v>27</v>
      </c>
      <c r="G25" s="68">
        <f>GruppeB!$E$43</f>
        <v>40</v>
      </c>
      <c r="H25" s="107">
        <f>GruppeB!M$14</f>
        <v>4</v>
      </c>
      <c r="I25" s="108"/>
      <c r="J25" s="83">
        <f>GruppeB!H$14</f>
        <v>0</v>
      </c>
      <c r="K25" s="71">
        <f>GruppeB!$D$14</f>
        <v>75</v>
      </c>
      <c r="L25" s="72">
        <f>GruppeB!$E$14</f>
        <v>120</v>
      </c>
      <c r="M25" s="83">
        <f>GruppeB!$G$14</f>
        <v>7</v>
      </c>
      <c r="N25" s="17"/>
    </row>
    <row r="26" spans="1:14" ht="21" customHeight="1" thickBot="1">
      <c r="A26" s="37" t="str">
        <f>Eingabe_Allgemein!C9</f>
        <v>BC Am Grünen Brett Xanten 1957</v>
      </c>
      <c r="B26" s="69">
        <f>GruppeB!$F$41</f>
        <v>0.75</v>
      </c>
      <c r="C26" s="70">
        <f>GruppeB!$G$41</f>
        <v>4</v>
      </c>
      <c r="D26" s="69">
        <f>GruppeB!$F$42</f>
        <v>0.45</v>
      </c>
      <c r="E26" s="70">
        <f>GruppeB!$G$42</f>
        <v>4</v>
      </c>
      <c r="F26" s="69">
        <f>GruppeB!$F$43</f>
        <v>0.675</v>
      </c>
      <c r="G26" s="70">
        <f>GruppeB!$G$43</f>
        <v>7</v>
      </c>
      <c r="H26" s="109"/>
      <c r="I26" s="110"/>
      <c r="J26" s="84"/>
      <c r="K26" s="73">
        <f>GruppeB!$N$14</f>
        <v>0.625</v>
      </c>
      <c r="L26" s="74" t="str">
        <f>IF(GruppeB!$I$14&gt;0,GruppeB!$I$14,"---")</f>
        <v>---</v>
      </c>
      <c r="M26" s="84"/>
      <c r="N26" s="17"/>
    </row>
    <row r="27" spans="1:14" ht="21" customHeight="1" thickBot="1">
      <c r="A27" s="17"/>
      <c r="B27" s="17"/>
      <c r="C27" s="17"/>
      <c r="D27" s="17"/>
      <c r="E27" s="38"/>
      <c r="F27" s="17"/>
      <c r="G27" s="17"/>
      <c r="H27" s="17"/>
      <c r="I27" s="17"/>
      <c r="J27" s="17"/>
      <c r="K27" s="17"/>
      <c r="L27" s="17"/>
      <c r="M27" s="17"/>
      <c r="N27" s="17"/>
    </row>
    <row r="28" spans="1:15" ht="21" customHeight="1">
      <c r="A28" s="39" t="s">
        <v>40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1"/>
      <c r="N28" s="17"/>
      <c r="O28" s="101" t="s">
        <v>87</v>
      </c>
    </row>
    <row r="29" spans="1:15" ht="21" customHeight="1">
      <c r="A29" s="42"/>
      <c r="B29" s="99" t="s">
        <v>28</v>
      </c>
      <c r="C29" s="99"/>
      <c r="D29" s="99"/>
      <c r="E29" s="99"/>
      <c r="F29" s="99"/>
      <c r="G29" s="43" t="s">
        <v>0</v>
      </c>
      <c r="H29" s="43" t="s">
        <v>1</v>
      </c>
      <c r="I29" s="86" t="s">
        <v>42</v>
      </c>
      <c r="J29" s="86"/>
      <c r="K29" s="86" t="s">
        <v>41</v>
      </c>
      <c r="L29" s="86"/>
      <c r="M29" s="44" t="s">
        <v>4</v>
      </c>
      <c r="N29" s="17"/>
      <c r="O29" s="105"/>
    </row>
    <row r="30" spans="1:15" ht="21" customHeight="1">
      <c r="A30" s="45" t="s">
        <v>37</v>
      </c>
      <c r="B30" s="102" t="str">
        <f>VLOOKUP(N30,Eingabe_Allgemein!$A$2:$E$9,2,FALSE)</f>
        <v>Roos, Dirk</v>
      </c>
      <c r="C30" s="102"/>
      <c r="D30" s="102"/>
      <c r="E30" s="102"/>
      <c r="F30" s="102"/>
      <c r="G30" s="43">
        <f>IF(O30&lt;&gt;"",O30,IF(I30&gt;0,IF(H30&lt;H31,0,IF(H30&gt;H31,2,1)),0))</f>
        <v>0</v>
      </c>
      <c r="H30" s="6">
        <v>30</v>
      </c>
      <c r="I30" s="103">
        <v>40</v>
      </c>
      <c r="J30" s="103"/>
      <c r="K30" s="104">
        <f>IF(I30&gt;0,INT(H30/I30*1000)/1000,0)</f>
        <v>0.75</v>
      </c>
      <c r="L30" s="104"/>
      <c r="M30" s="8">
        <v>3</v>
      </c>
      <c r="N30" s="17" t="str">
        <f>CONCATENATE("A",GruppeA!$B$51)</f>
        <v>A2</v>
      </c>
      <c r="O30" s="76"/>
    </row>
    <row r="31" spans="1:15" ht="21" customHeight="1">
      <c r="A31" s="46" t="s">
        <v>38</v>
      </c>
      <c r="B31" s="102" t="str">
        <f>VLOOKUP(N31,Eingabe_Allgemein!$A$2:$E$9,2,FALSE)</f>
        <v>Pauly, Marc</v>
      </c>
      <c r="C31" s="102"/>
      <c r="D31" s="102"/>
      <c r="E31" s="102"/>
      <c r="F31" s="102"/>
      <c r="G31" s="43">
        <f>IF(O31&lt;&gt;"",O31,IF(I30&gt;0,2-G30,0))</f>
        <v>2</v>
      </c>
      <c r="H31" s="6">
        <v>38</v>
      </c>
      <c r="I31" s="103">
        <v>40</v>
      </c>
      <c r="J31" s="103"/>
      <c r="K31" s="104">
        <f>IF(I31&gt;0,INT(H31/I31*1000)/1000,0)</f>
        <v>0.95</v>
      </c>
      <c r="L31" s="104"/>
      <c r="M31" s="8">
        <v>3</v>
      </c>
      <c r="N31" s="17" t="str">
        <f>CONCATENATE("B",GruppeB!$B$51)</f>
        <v>B1</v>
      </c>
      <c r="O31" s="76"/>
    </row>
    <row r="32" spans="1:15" ht="21" customHeight="1">
      <c r="A32" s="45" t="s">
        <v>39</v>
      </c>
      <c r="B32" s="102" t="str">
        <f>VLOOKUP(N32,Eingabe_Allgemein!$A$2:$E$9,2,FALSE)</f>
        <v>Krümmel, Gerd</v>
      </c>
      <c r="C32" s="102"/>
      <c r="D32" s="102"/>
      <c r="E32" s="102"/>
      <c r="F32" s="102"/>
      <c r="G32" s="43">
        <f>IF(O32&lt;&gt;"",O32,IF(I32&gt;0,IF(H32&lt;H33,0,IF(H32&gt;H33,2,1)),0))</f>
        <v>0</v>
      </c>
      <c r="H32" s="6">
        <v>24</v>
      </c>
      <c r="I32" s="103">
        <v>40</v>
      </c>
      <c r="J32" s="103"/>
      <c r="K32" s="104">
        <f>IF(I32&gt;0,INT(H32/I32*1000)/1000,0)</f>
        <v>0.6</v>
      </c>
      <c r="L32" s="104"/>
      <c r="M32" s="8">
        <v>3</v>
      </c>
      <c r="N32" s="17" t="str">
        <f>CONCATENATE("A",GruppeA!$B$52)</f>
        <v>A1</v>
      </c>
      <c r="O32" s="76"/>
    </row>
    <row r="33" spans="1:15" ht="21" customHeight="1" thickBot="1">
      <c r="A33" s="47" t="s">
        <v>38</v>
      </c>
      <c r="B33" s="95" t="str">
        <f>VLOOKUP(N33,Eingabe_Allgemein!$A$2:$E$9,2,FALSE)</f>
        <v>Aust, Andreas</v>
      </c>
      <c r="C33" s="95"/>
      <c r="D33" s="95"/>
      <c r="E33" s="95"/>
      <c r="F33" s="95"/>
      <c r="G33" s="48">
        <f>IF(O33&lt;&gt;"",O33,IF(I32&gt;0,2-G32,0))</f>
        <v>2</v>
      </c>
      <c r="H33" s="7">
        <v>39</v>
      </c>
      <c r="I33" s="96">
        <v>40</v>
      </c>
      <c r="J33" s="96"/>
      <c r="K33" s="97">
        <f>IF(I33&gt;0,INT(H33/I33*1000)/1000,0)</f>
        <v>0.975</v>
      </c>
      <c r="L33" s="97"/>
      <c r="M33" s="9">
        <v>5</v>
      </c>
      <c r="N33" s="17" t="str">
        <f>CONCATENATE("B",GruppeB!$B$52)</f>
        <v>B4</v>
      </c>
      <c r="O33" s="76"/>
    </row>
    <row r="34" spans="1:15" ht="21" customHeight="1" thickBot="1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7"/>
      <c r="O34" s="75" t="s">
        <v>88</v>
      </c>
    </row>
    <row r="35" spans="1:14" ht="21" customHeight="1" thickBot="1">
      <c r="A35" s="13" t="str">
        <f>A1</f>
        <v>Billardverband Niederrhein e.V.</v>
      </c>
      <c r="B35" s="14"/>
      <c r="C35" s="14"/>
      <c r="D35" s="14"/>
      <c r="E35" s="14"/>
      <c r="F35" s="14"/>
      <c r="G35" s="15" t="str">
        <f>G1</f>
        <v>Saison</v>
      </c>
      <c r="H35" s="14"/>
      <c r="I35" s="14"/>
      <c r="J35" s="14"/>
      <c r="K35" s="14"/>
      <c r="L35" s="15" t="s">
        <v>57</v>
      </c>
      <c r="M35" s="16"/>
      <c r="N35" s="17"/>
    </row>
    <row r="36" spans="1:14" ht="21" customHeight="1">
      <c r="A36" s="22" t="s">
        <v>7</v>
      </c>
      <c r="B36" s="23" t="str">
        <f>B2</f>
        <v>2. Kl. Dreiband / 40 B / 40 A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5"/>
      <c r="N36" s="17"/>
    </row>
    <row r="37" spans="1:14" ht="21" customHeight="1">
      <c r="A37" s="22" t="s">
        <v>8</v>
      </c>
      <c r="B37" s="23" t="str">
        <f>B3</f>
        <v>14. - 15.04.2012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5"/>
      <c r="N37" s="17"/>
    </row>
    <row r="38" spans="1:14" ht="21" customHeight="1" thickBot="1">
      <c r="A38" s="26" t="s">
        <v>9</v>
      </c>
      <c r="B38" s="27" t="str">
        <f>B4</f>
        <v>Billardfreunde Lobberich 1937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9"/>
      <c r="N38" s="17"/>
    </row>
    <row r="39" spans="1:14" ht="21" customHeight="1" thickBot="1">
      <c r="A39" s="17"/>
      <c r="B39" s="17"/>
      <c r="C39" s="17"/>
      <c r="D39" s="17"/>
      <c r="E39" s="38"/>
      <c r="F39" s="17"/>
      <c r="G39" s="17"/>
      <c r="H39" s="17"/>
      <c r="I39" s="17"/>
      <c r="J39" s="17"/>
      <c r="K39" s="17"/>
      <c r="L39" s="17"/>
      <c r="M39" s="17"/>
      <c r="N39" s="17"/>
    </row>
    <row r="40" spans="1:15" ht="15" customHeight="1">
      <c r="A40" s="39" t="s">
        <v>43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1"/>
      <c r="N40" s="17"/>
      <c r="O40" s="101" t="s">
        <v>87</v>
      </c>
    </row>
    <row r="41" spans="1:15" ht="15" customHeight="1">
      <c r="A41" s="42"/>
      <c r="B41" s="99" t="s">
        <v>28</v>
      </c>
      <c r="C41" s="99"/>
      <c r="D41" s="99"/>
      <c r="E41" s="99"/>
      <c r="F41" s="99"/>
      <c r="G41" s="43" t="s">
        <v>0</v>
      </c>
      <c r="H41" s="43" t="s">
        <v>1</v>
      </c>
      <c r="I41" s="86" t="s">
        <v>42</v>
      </c>
      <c r="J41" s="86"/>
      <c r="K41" s="86" t="s">
        <v>41</v>
      </c>
      <c r="L41" s="86"/>
      <c r="M41" s="44" t="s">
        <v>4</v>
      </c>
      <c r="N41" s="17"/>
      <c r="O41" s="101"/>
    </row>
    <row r="42" spans="1:15" ht="21" customHeight="1">
      <c r="A42" s="45" t="s">
        <v>44</v>
      </c>
      <c r="B42" s="102" t="str">
        <f>VLOOKUP(N42,Eingabe_Allgemein!$A$2:$E$9,2,FALSE)</f>
        <v>Löwe, Tom</v>
      </c>
      <c r="C42" s="102"/>
      <c r="D42" s="102"/>
      <c r="E42" s="102"/>
      <c r="F42" s="102"/>
      <c r="G42" s="43">
        <f>IF(O42&lt;&gt;"",O42,IF(I42&gt;0,IF(H42&lt;H43,0,IF(H42&gt;H43,2,1)),0))</f>
        <v>2</v>
      </c>
      <c r="H42" s="6">
        <v>40</v>
      </c>
      <c r="I42" s="103">
        <v>61</v>
      </c>
      <c r="J42" s="103"/>
      <c r="K42" s="104">
        <f>IF(I42&gt;0,INT(H42/I42*1000)/1000,0)</f>
        <v>0.655</v>
      </c>
      <c r="L42" s="104"/>
      <c r="M42" s="8">
        <v>7</v>
      </c>
      <c r="N42" s="17" t="str">
        <f>CONCATENATE("A",GruppeA!$B$49)</f>
        <v>A4</v>
      </c>
      <c r="O42" s="76"/>
    </row>
    <row r="43" spans="1:15" ht="21" customHeight="1">
      <c r="A43" s="46" t="s">
        <v>45</v>
      </c>
      <c r="B43" s="102" t="str">
        <f>VLOOKUP(N43,Eingabe_Allgemein!$A$2:$E$9,2,FALSE)</f>
        <v>Mönning, Ralf</v>
      </c>
      <c r="C43" s="102"/>
      <c r="D43" s="102"/>
      <c r="E43" s="102"/>
      <c r="F43" s="102"/>
      <c r="G43" s="43">
        <f>IF(O43&lt;&gt;"",O43,IF(I42&gt;0,2-G42,0))</f>
        <v>0</v>
      </c>
      <c r="H43" s="6">
        <v>36</v>
      </c>
      <c r="I43" s="103">
        <v>61</v>
      </c>
      <c r="J43" s="103"/>
      <c r="K43" s="104">
        <f>IF(I43&gt;0,INT(H43/I43*1000)/1000,0)</f>
        <v>0.59</v>
      </c>
      <c r="L43" s="104"/>
      <c r="M43" s="8">
        <v>7</v>
      </c>
      <c r="N43" s="17" t="str">
        <f>CONCATENATE("B",GruppeB!$B$50)</f>
        <v>B3</v>
      </c>
      <c r="O43" s="76"/>
    </row>
    <row r="44" spans="1:15" ht="21" customHeight="1">
      <c r="A44" s="45" t="s">
        <v>46</v>
      </c>
      <c r="B44" s="102" t="str">
        <f>VLOOKUP(N44,Eingabe_Allgemein!$A$2:$E$9,2,FALSE)</f>
        <v>Siebes, Fred</v>
      </c>
      <c r="C44" s="102"/>
      <c r="D44" s="102"/>
      <c r="E44" s="102"/>
      <c r="F44" s="102"/>
      <c r="G44" s="43">
        <f>IF(O44&lt;&gt;"",O44,IF(I44&gt;0,IF(H44&lt;H45,0,IF(H44&gt;H45,2,1)),0))</f>
        <v>0</v>
      </c>
      <c r="H44" s="6">
        <v>14</v>
      </c>
      <c r="I44" s="103">
        <v>34</v>
      </c>
      <c r="J44" s="103"/>
      <c r="K44" s="104">
        <f>IF(I44&gt;0,INT(H44/I44*1000)/1000,0)</f>
        <v>0.411</v>
      </c>
      <c r="L44" s="104"/>
      <c r="M44" s="8">
        <v>2</v>
      </c>
      <c r="N44" s="17" t="str">
        <f>CONCATENATE("B",GruppeB!$B$49)</f>
        <v>B2</v>
      </c>
      <c r="O44" s="76"/>
    </row>
    <row r="45" spans="1:15" ht="21" customHeight="1" thickBot="1">
      <c r="A45" s="47" t="s">
        <v>47</v>
      </c>
      <c r="B45" s="95" t="str">
        <f>VLOOKUP(N45,Eingabe_Allgemein!$A$2:$E$9,2,FALSE)</f>
        <v>Patett, Andreas</v>
      </c>
      <c r="C45" s="95"/>
      <c r="D45" s="95"/>
      <c r="E45" s="95"/>
      <c r="F45" s="95"/>
      <c r="G45" s="48">
        <f>IF(O45&lt;&gt;"",O45,IF(I44&gt;0,2-G44,0))</f>
        <v>2</v>
      </c>
      <c r="H45" s="7">
        <v>40</v>
      </c>
      <c r="I45" s="96">
        <v>34</v>
      </c>
      <c r="J45" s="96"/>
      <c r="K45" s="97">
        <f>IF(I45&gt;0,INT(H45/I45*1000)/1000,0)</f>
        <v>1.176</v>
      </c>
      <c r="L45" s="97"/>
      <c r="M45" s="9">
        <v>7</v>
      </c>
      <c r="N45" s="17" t="str">
        <f>CONCATENATE("A",GruppeA!$B$50)</f>
        <v>A3</v>
      </c>
      <c r="O45" s="76"/>
    </row>
    <row r="46" spans="1:15" ht="21" customHeight="1" thickBot="1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7"/>
      <c r="O46" s="75" t="s">
        <v>88</v>
      </c>
    </row>
    <row r="47" spans="1:15" ht="15" customHeight="1">
      <c r="A47" s="39" t="s">
        <v>52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1"/>
      <c r="N47" s="17"/>
      <c r="O47" s="101" t="s">
        <v>87</v>
      </c>
    </row>
    <row r="48" spans="1:15" ht="15" customHeight="1">
      <c r="A48" s="42"/>
      <c r="B48" s="99" t="s">
        <v>28</v>
      </c>
      <c r="C48" s="99"/>
      <c r="D48" s="99"/>
      <c r="E48" s="99"/>
      <c r="F48" s="99"/>
      <c r="G48" s="43" t="s">
        <v>0</v>
      </c>
      <c r="H48" s="43" t="s">
        <v>1</v>
      </c>
      <c r="I48" s="86" t="s">
        <v>42</v>
      </c>
      <c r="J48" s="86"/>
      <c r="K48" s="86" t="s">
        <v>41</v>
      </c>
      <c r="L48" s="86"/>
      <c r="M48" s="44" t="s">
        <v>4</v>
      </c>
      <c r="N48" s="17"/>
      <c r="O48" s="101"/>
    </row>
    <row r="49" spans="1:15" ht="21" customHeight="1">
      <c r="A49" s="45" t="s">
        <v>53</v>
      </c>
      <c r="B49" s="102" t="str">
        <f>VLOOKUP(N49,Eingabe_Allgemein!$A$2:$E$9,2,FALSE)</f>
        <v>Mönning, Ralf</v>
      </c>
      <c r="C49" s="102"/>
      <c r="D49" s="102"/>
      <c r="E49" s="102"/>
      <c r="F49" s="102"/>
      <c r="G49" s="43">
        <f>IF(O49&lt;&gt;"",O49,IF(I49&gt;0,IF(H49&lt;H50,0,IF(H49&gt;H50,2,1)),0))</f>
        <v>0</v>
      </c>
      <c r="H49" s="6">
        <v>0</v>
      </c>
      <c r="I49" s="103">
        <v>0</v>
      </c>
      <c r="J49" s="103"/>
      <c r="K49" s="104">
        <f>IF(I49&gt;0,INT(H49/I49*1000)/1000,0)</f>
        <v>0</v>
      </c>
      <c r="L49" s="104"/>
      <c r="M49" s="8">
        <v>0</v>
      </c>
      <c r="N49" s="17" t="str">
        <f>IF(G42=0,N42,N43)</f>
        <v>B3</v>
      </c>
      <c r="O49" s="76"/>
    </row>
    <row r="50" spans="1:15" ht="21" customHeight="1" thickBot="1">
      <c r="A50" s="47" t="s">
        <v>54</v>
      </c>
      <c r="B50" s="95" t="str">
        <f>VLOOKUP(N50,Eingabe_Allgemein!$A$2:$E$9,2,FALSE)</f>
        <v>Siebes, Fred</v>
      </c>
      <c r="C50" s="95"/>
      <c r="D50" s="95"/>
      <c r="E50" s="95"/>
      <c r="F50" s="95"/>
      <c r="G50" s="48">
        <f>IF(O50&lt;&gt;"",O50,IF(I49&gt;0,2-G49,0))</f>
        <v>0</v>
      </c>
      <c r="H50" s="7">
        <v>0</v>
      </c>
      <c r="I50" s="96">
        <v>0</v>
      </c>
      <c r="J50" s="96"/>
      <c r="K50" s="97">
        <f>IF(I50&gt;0,INT(H50/I50*1000)/1000,0)</f>
        <v>0</v>
      </c>
      <c r="L50" s="97"/>
      <c r="M50" s="9">
        <v>0</v>
      </c>
      <c r="N50" s="17" t="str">
        <f>IF(G44=0,N44,N45)</f>
        <v>B2</v>
      </c>
      <c r="O50" s="76"/>
    </row>
    <row r="51" spans="1:15" ht="21" customHeight="1" thickBot="1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7"/>
      <c r="O51" s="75" t="s">
        <v>88</v>
      </c>
    </row>
    <row r="52" spans="1:15" ht="15" customHeight="1">
      <c r="A52" s="39" t="s">
        <v>55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1"/>
      <c r="N52" s="17"/>
      <c r="O52" s="101" t="s">
        <v>87</v>
      </c>
    </row>
    <row r="53" spans="1:15" ht="15" customHeight="1">
      <c r="A53" s="42"/>
      <c r="B53" s="99" t="s">
        <v>28</v>
      </c>
      <c r="C53" s="99"/>
      <c r="D53" s="99"/>
      <c r="E53" s="99"/>
      <c r="F53" s="99"/>
      <c r="G53" s="43" t="s">
        <v>0</v>
      </c>
      <c r="H53" s="43" t="s">
        <v>1</v>
      </c>
      <c r="I53" s="86" t="s">
        <v>42</v>
      </c>
      <c r="J53" s="86"/>
      <c r="K53" s="86" t="s">
        <v>41</v>
      </c>
      <c r="L53" s="86"/>
      <c r="M53" s="44" t="s">
        <v>4</v>
      </c>
      <c r="N53" s="17"/>
      <c r="O53" s="101"/>
    </row>
    <row r="54" spans="1:15" ht="21" customHeight="1">
      <c r="A54" s="45" t="s">
        <v>56</v>
      </c>
      <c r="B54" s="102" t="str">
        <f>VLOOKUP(N54,Eingabe_Allgemein!$A$2:$E$9,2,FALSE)</f>
        <v>Löwe, Tom</v>
      </c>
      <c r="C54" s="102"/>
      <c r="D54" s="102"/>
      <c r="E54" s="102"/>
      <c r="F54" s="102"/>
      <c r="G54" s="43">
        <f>IF(O54&lt;&gt;"",O54,IF(I54&gt;0,IF(H54&lt;H55,0,IF(H54&gt;H55,2,1)),0))</f>
        <v>2</v>
      </c>
      <c r="H54" s="6">
        <v>40</v>
      </c>
      <c r="I54" s="103">
        <v>62</v>
      </c>
      <c r="J54" s="103"/>
      <c r="K54" s="104">
        <f>IF(I54&gt;0,INT(H54/I54*1000)/1000,0)</f>
        <v>0.645</v>
      </c>
      <c r="L54" s="104"/>
      <c r="M54" s="8">
        <v>3</v>
      </c>
      <c r="N54" s="17" t="str">
        <f>IF(G42=0,N43,N42)</f>
        <v>A4</v>
      </c>
      <c r="O54" s="76"/>
    </row>
    <row r="55" spans="1:15" ht="21" customHeight="1" thickBot="1">
      <c r="A55" s="47" t="s">
        <v>54</v>
      </c>
      <c r="B55" s="95" t="str">
        <f>VLOOKUP(N55,Eingabe_Allgemein!$A$2:$E$9,2,FALSE)</f>
        <v>Patett, Andreas</v>
      </c>
      <c r="C55" s="95"/>
      <c r="D55" s="95"/>
      <c r="E55" s="95"/>
      <c r="F55" s="95"/>
      <c r="G55" s="48">
        <f>IF(O55&lt;&gt;"",O55,IF(I54&gt;0,2-G54,0))</f>
        <v>0</v>
      </c>
      <c r="H55" s="7">
        <v>35</v>
      </c>
      <c r="I55" s="96">
        <v>62</v>
      </c>
      <c r="J55" s="96"/>
      <c r="K55" s="97">
        <f>IF(I55&gt;0,INT(H55/I55*1000)/1000,0)</f>
        <v>0.564</v>
      </c>
      <c r="L55" s="97"/>
      <c r="M55" s="9">
        <v>4</v>
      </c>
      <c r="N55" s="17" t="str">
        <f>IF(G44=0,N45,N44)</f>
        <v>A3</v>
      </c>
      <c r="O55" s="76"/>
    </row>
    <row r="56" spans="1:15" ht="21" customHeight="1" thickBot="1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7"/>
      <c r="O56" s="75" t="s">
        <v>88</v>
      </c>
    </row>
    <row r="57" spans="1:14" ht="15" customHeight="1" thickBot="1">
      <c r="A57" s="80" t="s">
        <v>58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118"/>
      <c r="N57" s="17"/>
    </row>
    <row r="58" spans="1:14" ht="15" customHeight="1">
      <c r="A58" s="119" t="s">
        <v>28</v>
      </c>
      <c r="B58" s="120"/>
      <c r="C58" s="120"/>
      <c r="D58" s="120"/>
      <c r="E58" s="120"/>
      <c r="F58" s="120"/>
      <c r="G58" s="49" t="s">
        <v>0</v>
      </c>
      <c r="H58" s="49" t="s">
        <v>1</v>
      </c>
      <c r="I58" s="49" t="s">
        <v>63</v>
      </c>
      <c r="J58" s="121" t="s">
        <v>41</v>
      </c>
      <c r="K58" s="121"/>
      <c r="L58" s="49" t="s">
        <v>3</v>
      </c>
      <c r="M58" s="50" t="s">
        <v>4</v>
      </c>
      <c r="N58" s="17"/>
    </row>
    <row r="59" spans="1:14" ht="21" customHeight="1">
      <c r="A59" s="98" t="str">
        <f>Hilfstabelle!C2</f>
        <v>1. Löwe, Tom</v>
      </c>
      <c r="B59" s="99"/>
      <c r="C59" s="99" t="str">
        <f>Hilfstabelle!D2</f>
        <v>BF Lobberich 1937</v>
      </c>
      <c r="D59" s="99"/>
      <c r="E59" s="99"/>
      <c r="F59" s="99"/>
      <c r="G59" s="43" t="str">
        <f>Hilfstabelle!E2</f>
        <v>9 : 1</v>
      </c>
      <c r="H59" s="43">
        <f>Hilfstabelle!F2</f>
        <v>193</v>
      </c>
      <c r="I59" s="43">
        <f>Hilfstabelle!G2</f>
        <v>236</v>
      </c>
      <c r="J59" s="104">
        <f>Hilfstabelle!H2</f>
        <v>0.817</v>
      </c>
      <c r="K59" s="104"/>
      <c r="L59" s="60">
        <f>IF(Hilfstabelle!I2&gt;0,Hilfstabelle!I2,"---")</f>
        <v>1.212</v>
      </c>
      <c r="M59" s="51">
        <f>Hilfstabelle!K2</f>
        <v>8</v>
      </c>
      <c r="N59" s="17"/>
    </row>
    <row r="60" spans="1:14" ht="21" customHeight="1">
      <c r="A60" s="98" t="str">
        <f>Hilfstabelle!C3</f>
        <v>2. Patett, Andreas</v>
      </c>
      <c r="B60" s="99"/>
      <c r="C60" s="99" t="str">
        <f>Hilfstabelle!D3</f>
        <v>BSG Duisburg</v>
      </c>
      <c r="D60" s="99"/>
      <c r="E60" s="99"/>
      <c r="F60" s="99"/>
      <c r="G60" s="43" t="str">
        <f>Hilfstabelle!E3</f>
        <v>7 : 3</v>
      </c>
      <c r="H60" s="43">
        <f>Hilfstabelle!F3</f>
        <v>164</v>
      </c>
      <c r="I60" s="43">
        <f>Hilfstabelle!G3</f>
        <v>216</v>
      </c>
      <c r="J60" s="104">
        <f>Hilfstabelle!H3</f>
        <v>0.759</v>
      </c>
      <c r="K60" s="104"/>
      <c r="L60" s="60">
        <f>IF(Hilfstabelle!I3&gt;0,Hilfstabelle!I3,"---")</f>
        <v>1.176</v>
      </c>
      <c r="M60" s="51">
        <f>Hilfstabelle!K3</f>
        <v>7</v>
      </c>
      <c r="N60" s="17"/>
    </row>
    <row r="61" spans="1:14" ht="21" customHeight="1">
      <c r="A61" s="98" t="str">
        <f>Hilfstabelle!C4</f>
        <v>3. Siebes, Fred</v>
      </c>
      <c r="B61" s="99"/>
      <c r="C61" s="99" t="str">
        <f>Hilfstabelle!D4</f>
        <v>BF Lobberich 1937</v>
      </c>
      <c r="D61" s="99"/>
      <c r="E61" s="99"/>
      <c r="F61" s="99"/>
      <c r="G61" s="43" t="str">
        <f>Hilfstabelle!E4</f>
        <v>4 : 4</v>
      </c>
      <c r="H61" s="43">
        <f>Hilfstabelle!F4</f>
        <v>122</v>
      </c>
      <c r="I61" s="43">
        <f>Hilfstabelle!G4</f>
        <v>148</v>
      </c>
      <c r="J61" s="104">
        <f>Hilfstabelle!H4</f>
        <v>0.824</v>
      </c>
      <c r="K61" s="104"/>
      <c r="L61" s="60">
        <f>IF(Hilfstabelle!I4&gt;0,Hilfstabelle!I4,"---")</f>
        <v>1.081</v>
      </c>
      <c r="M61" s="51">
        <f>Hilfstabelle!K4</f>
        <v>5</v>
      </c>
      <c r="N61" s="17"/>
    </row>
    <row r="62" spans="1:14" ht="21" customHeight="1">
      <c r="A62" s="98" t="str">
        <f>Hilfstabelle!C5</f>
        <v>4. Mönning, Ralf</v>
      </c>
      <c r="B62" s="99"/>
      <c r="C62" s="99" t="str">
        <f>Hilfstabelle!D5</f>
        <v>BC Neviges 60</v>
      </c>
      <c r="D62" s="99"/>
      <c r="E62" s="99"/>
      <c r="F62" s="99"/>
      <c r="G62" s="43" t="str">
        <f>Hilfstabelle!E5</f>
        <v>4 : 4</v>
      </c>
      <c r="H62" s="43">
        <f>Hilfstabelle!F5</f>
        <v>127</v>
      </c>
      <c r="I62" s="43">
        <f>Hilfstabelle!G5</f>
        <v>178</v>
      </c>
      <c r="J62" s="104">
        <f>Hilfstabelle!H5</f>
        <v>0.713</v>
      </c>
      <c r="K62" s="104"/>
      <c r="L62" s="60">
        <f>IF(Hilfstabelle!I5&gt;0,Hilfstabelle!I5,"---")</f>
        <v>1.081</v>
      </c>
      <c r="M62" s="51">
        <f>Hilfstabelle!K5</f>
        <v>7</v>
      </c>
      <c r="N62" s="17"/>
    </row>
    <row r="63" spans="1:14" ht="21" customHeight="1">
      <c r="A63" s="98" t="str">
        <f>Hilfstabelle!C6</f>
        <v>5. Pauly, Marc</v>
      </c>
      <c r="B63" s="99"/>
      <c r="C63" s="99" t="str">
        <f>Hilfstabelle!D6</f>
        <v>BC Ruhrfähre</v>
      </c>
      <c r="D63" s="99"/>
      <c r="E63" s="99"/>
      <c r="F63" s="99"/>
      <c r="G63" s="43" t="str">
        <f>Hilfstabelle!E6</f>
        <v>6 : 2</v>
      </c>
      <c r="H63" s="43">
        <f>Hilfstabelle!F6</f>
        <v>128</v>
      </c>
      <c r="I63" s="43">
        <f>Hilfstabelle!G6</f>
        <v>157</v>
      </c>
      <c r="J63" s="104">
        <f>Hilfstabelle!H6</f>
        <v>0.815</v>
      </c>
      <c r="K63" s="104"/>
      <c r="L63" s="60">
        <f>IF(Hilfstabelle!I6&gt;0,Hilfstabelle!I6,"---")</f>
        <v>0.95</v>
      </c>
      <c r="M63" s="51">
        <f>Hilfstabelle!K6</f>
        <v>4</v>
      </c>
      <c r="N63" s="17"/>
    </row>
    <row r="64" spans="1:14" ht="21" customHeight="1">
      <c r="A64" s="98" t="str">
        <f>Hilfstabelle!C7</f>
        <v>6. Roos, Dirk</v>
      </c>
      <c r="B64" s="99"/>
      <c r="C64" s="99" t="str">
        <f>Hilfstabelle!D7</f>
        <v>BC Rot-Weiß Opladen 1934</v>
      </c>
      <c r="D64" s="99"/>
      <c r="E64" s="99"/>
      <c r="F64" s="99"/>
      <c r="G64" s="43" t="str">
        <f>Hilfstabelle!E7</f>
        <v>2 : 6</v>
      </c>
      <c r="H64" s="43">
        <f>Hilfstabelle!F7</f>
        <v>107</v>
      </c>
      <c r="I64" s="43">
        <f>Hilfstabelle!G7</f>
        <v>153</v>
      </c>
      <c r="J64" s="104">
        <f>Hilfstabelle!H7</f>
        <v>0.699</v>
      </c>
      <c r="K64" s="104"/>
      <c r="L64" s="60">
        <f>IF(Hilfstabelle!I7&gt;0,Hilfstabelle!I7,"---")</f>
        <v>0.75</v>
      </c>
      <c r="M64" s="51">
        <f>Hilfstabelle!K7</f>
        <v>4</v>
      </c>
      <c r="N64" s="17"/>
    </row>
    <row r="65" spans="1:14" ht="21" customHeight="1">
      <c r="A65" s="98" t="str">
        <f>Hilfstabelle!C8</f>
        <v>7. Aust, Andreas</v>
      </c>
      <c r="B65" s="99"/>
      <c r="C65" s="99" t="str">
        <f>Hilfstabelle!D8</f>
        <v>BC Am Grünen Brett Xanten 1957</v>
      </c>
      <c r="D65" s="99"/>
      <c r="E65" s="99"/>
      <c r="F65" s="99"/>
      <c r="G65" s="43" t="str">
        <f>Hilfstabelle!E8</f>
        <v>2 : 6</v>
      </c>
      <c r="H65" s="43">
        <f>Hilfstabelle!F8</f>
        <v>114</v>
      </c>
      <c r="I65" s="43">
        <f>Hilfstabelle!G8</f>
        <v>160</v>
      </c>
      <c r="J65" s="104">
        <f>Hilfstabelle!H8</f>
        <v>0.712</v>
      </c>
      <c r="K65" s="104"/>
      <c r="L65" s="60">
        <f>IF(Hilfstabelle!I8&gt;0,Hilfstabelle!I8,"---")</f>
        <v>0.975</v>
      </c>
      <c r="M65" s="51">
        <f>Hilfstabelle!K8</f>
        <v>7</v>
      </c>
      <c r="N65" s="17"/>
    </row>
    <row r="66" spans="1:14" ht="21" customHeight="1" thickBot="1">
      <c r="A66" s="122" t="str">
        <f>Hilfstabelle!C9</f>
        <v>8. Krümmel, Gerd</v>
      </c>
      <c r="B66" s="123"/>
      <c r="C66" s="124" t="str">
        <f>Hilfstabelle!D9</f>
        <v>BSV Velbert</v>
      </c>
      <c r="D66" s="124"/>
      <c r="E66" s="124"/>
      <c r="F66" s="124"/>
      <c r="G66" s="52" t="str">
        <f>Hilfstabelle!E9</f>
        <v>0 : 8</v>
      </c>
      <c r="H66" s="52">
        <f>Hilfstabelle!F9</f>
        <v>85</v>
      </c>
      <c r="I66" s="52">
        <f>Hilfstabelle!G9</f>
        <v>160</v>
      </c>
      <c r="J66" s="128">
        <f>Hilfstabelle!H9</f>
        <v>0.531</v>
      </c>
      <c r="K66" s="128"/>
      <c r="L66" s="61" t="str">
        <f>IF(Hilfstabelle!I9&gt;0,Hilfstabelle!I9,"---")</f>
        <v>---</v>
      </c>
      <c r="M66" s="53">
        <f>Hilfstabelle!K9</f>
        <v>4</v>
      </c>
      <c r="N66" s="17"/>
    </row>
    <row r="67" spans="1:14" ht="21" customHeight="1" thickBot="1">
      <c r="A67" s="54"/>
      <c r="B67" s="54"/>
      <c r="C67" s="125" t="s">
        <v>64</v>
      </c>
      <c r="D67" s="126"/>
      <c r="E67" s="126"/>
      <c r="F67" s="126"/>
      <c r="G67" s="126"/>
      <c r="H67" s="55">
        <f>SUM(H59:H66)</f>
        <v>1040</v>
      </c>
      <c r="I67" s="55">
        <f>SUM(I59:I66)</f>
        <v>1408</v>
      </c>
      <c r="J67" s="127">
        <f>IF(I67&gt;0,INT(H67/I67*1000)/1000,"---")</f>
        <v>0.738</v>
      </c>
      <c r="K67" s="127"/>
      <c r="L67" s="62">
        <f>MAX(L59:L66)</f>
        <v>1.212</v>
      </c>
      <c r="M67" s="56">
        <f>MAX(M59:M66)</f>
        <v>8</v>
      </c>
      <c r="N67" s="17"/>
    </row>
    <row r="68" ht="21" customHeight="1" thickBot="1"/>
    <row r="69" spans="1:13" ht="21" customHeight="1">
      <c r="A69" s="63" t="s">
        <v>80</v>
      </c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90"/>
    </row>
    <row r="70" spans="1:13" ht="21" customHeight="1">
      <c r="A70" s="64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2"/>
    </row>
    <row r="71" spans="1:13" ht="21" customHeight="1" thickBot="1">
      <c r="A71" s="65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4"/>
    </row>
    <row r="73" spans="1:8" ht="21" customHeight="1">
      <c r="A73" t="s">
        <v>81</v>
      </c>
      <c r="C73" s="88"/>
      <c r="D73" s="88"/>
      <c r="E73" s="87"/>
      <c r="F73" s="87"/>
      <c r="G73" s="87"/>
      <c r="H73" s="87"/>
    </row>
    <row r="74" spans="3:5" ht="21" customHeight="1">
      <c r="C74" t="s">
        <v>8</v>
      </c>
      <c r="E74" t="s">
        <v>82</v>
      </c>
    </row>
  </sheetData>
  <sheetProtection sheet="1" objects="1" scenarios="1"/>
  <mergeCells count="126">
    <mergeCell ref="C67:G67"/>
    <mergeCell ref="J67:K67"/>
    <mergeCell ref="J63:K63"/>
    <mergeCell ref="J64:K64"/>
    <mergeCell ref="J65:K65"/>
    <mergeCell ref="J66:K66"/>
    <mergeCell ref="A66:B66"/>
    <mergeCell ref="C59:F59"/>
    <mergeCell ref="C60:F60"/>
    <mergeCell ref="C61:F61"/>
    <mergeCell ref="C62:F62"/>
    <mergeCell ref="C63:F63"/>
    <mergeCell ref="C64:F64"/>
    <mergeCell ref="C65:F65"/>
    <mergeCell ref="C66:F66"/>
    <mergeCell ref="A60:B60"/>
    <mergeCell ref="A63:B63"/>
    <mergeCell ref="A64:B64"/>
    <mergeCell ref="A57:M57"/>
    <mergeCell ref="A59:B59"/>
    <mergeCell ref="A58:F58"/>
    <mergeCell ref="J58:K58"/>
    <mergeCell ref="J59:K59"/>
    <mergeCell ref="J60:K60"/>
    <mergeCell ref="J61:K61"/>
    <mergeCell ref="J62:K62"/>
    <mergeCell ref="B31:F31"/>
    <mergeCell ref="B32:F32"/>
    <mergeCell ref="K31:L31"/>
    <mergeCell ref="K32:L32"/>
    <mergeCell ref="I31:J31"/>
    <mergeCell ref="I32:J32"/>
    <mergeCell ref="H25:I26"/>
    <mergeCell ref="J25:J26"/>
    <mergeCell ref="M25:M26"/>
    <mergeCell ref="B30:F30"/>
    <mergeCell ref="I30:J30"/>
    <mergeCell ref="K30:L30"/>
    <mergeCell ref="B29:F29"/>
    <mergeCell ref="I29:J29"/>
    <mergeCell ref="K29:L29"/>
    <mergeCell ref="B19:C20"/>
    <mergeCell ref="J19:J20"/>
    <mergeCell ref="M19:M20"/>
    <mergeCell ref="F23:G24"/>
    <mergeCell ref="J23:J24"/>
    <mergeCell ref="M23:M24"/>
    <mergeCell ref="D21:E22"/>
    <mergeCell ref="J21:J22"/>
    <mergeCell ref="M21:M22"/>
    <mergeCell ref="A17:A18"/>
    <mergeCell ref="B17:C18"/>
    <mergeCell ref="D17:E18"/>
    <mergeCell ref="F17:G18"/>
    <mergeCell ref="H17:I18"/>
    <mergeCell ref="J17:J18"/>
    <mergeCell ref="M17:M18"/>
    <mergeCell ref="J6:J7"/>
    <mergeCell ref="M6:M7"/>
    <mergeCell ref="M8:M9"/>
    <mergeCell ref="M14:M15"/>
    <mergeCell ref="J8:J9"/>
    <mergeCell ref="J10:J11"/>
    <mergeCell ref="J12:J13"/>
    <mergeCell ref="M10:M11"/>
    <mergeCell ref="M12:M13"/>
    <mergeCell ref="H14:I15"/>
    <mergeCell ref="J14:J15"/>
    <mergeCell ref="A6:A7"/>
    <mergeCell ref="B6:C7"/>
    <mergeCell ref="D6:E7"/>
    <mergeCell ref="F6:G7"/>
    <mergeCell ref="B8:C9"/>
    <mergeCell ref="D10:E11"/>
    <mergeCell ref="F12:G13"/>
    <mergeCell ref="H6:I7"/>
    <mergeCell ref="B33:F33"/>
    <mergeCell ref="I33:J33"/>
    <mergeCell ref="K33:L33"/>
    <mergeCell ref="A34:M34"/>
    <mergeCell ref="K42:L42"/>
    <mergeCell ref="I43:J43"/>
    <mergeCell ref="K43:L43"/>
    <mergeCell ref="B41:F41"/>
    <mergeCell ref="I41:J41"/>
    <mergeCell ref="K41:L41"/>
    <mergeCell ref="I50:J50"/>
    <mergeCell ref="K50:L50"/>
    <mergeCell ref="B50:F50"/>
    <mergeCell ref="B45:F45"/>
    <mergeCell ref="I45:J45"/>
    <mergeCell ref="K45:L45"/>
    <mergeCell ref="B48:F48"/>
    <mergeCell ref="I48:J48"/>
    <mergeCell ref="K48:L48"/>
    <mergeCell ref="B49:F49"/>
    <mergeCell ref="I49:J49"/>
    <mergeCell ref="K49:L49"/>
    <mergeCell ref="O28:O29"/>
    <mergeCell ref="A46:M46"/>
    <mergeCell ref="I44:J44"/>
    <mergeCell ref="K44:L44"/>
    <mergeCell ref="B43:F43"/>
    <mergeCell ref="B44:F44"/>
    <mergeCell ref="B42:F42"/>
    <mergeCell ref="I42:J42"/>
    <mergeCell ref="A51:M51"/>
    <mergeCell ref="A56:M56"/>
    <mergeCell ref="O40:O41"/>
    <mergeCell ref="O47:O48"/>
    <mergeCell ref="O52:O53"/>
    <mergeCell ref="B54:F54"/>
    <mergeCell ref="I54:J54"/>
    <mergeCell ref="K54:L54"/>
    <mergeCell ref="B53:F53"/>
    <mergeCell ref="I53:J53"/>
    <mergeCell ref="K53:L53"/>
    <mergeCell ref="E73:H73"/>
    <mergeCell ref="C73:D73"/>
    <mergeCell ref="B69:M71"/>
    <mergeCell ref="B55:F55"/>
    <mergeCell ref="I55:J55"/>
    <mergeCell ref="K55:L55"/>
    <mergeCell ref="A62:B62"/>
    <mergeCell ref="A65:B65"/>
    <mergeCell ref="A61:B61"/>
  </mergeCells>
  <printOptions/>
  <pageMargins left="0.7874015748031497" right="0.5905511811023623" top="0.5905511811023623" bottom="0.5905511811023623" header="0.5118110236220472" footer="0.5118110236220472"/>
  <pageSetup horizontalDpi="300" verticalDpi="300" orientation="portrait" paperSize="9" scale="93" r:id="rId3"/>
  <rowBreaks count="1" manualBreakCount="1">
    <brk id="34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R52"/>
  <sheetViews>
    <sheetView zoomScale="90" zoomScaleNormal="90" zoomScalePageLayoutView="0" workbookViewId="0" topLeftCell="A1">
      <selection activeCell="Q7" sqref="Q7"/>
    </sheetView>
  </sheetViews>
  <sheetFormatPr defaultColWidth="11.421875" defaultRowHeight="12.75"/>
  <cols>
    <col min="1" max="1" width="5.8515625" style="0" bestFit="1" customWidth="1"/>
    <col min="2" max="2" width="7.8515625" style="0" customWidth="1"/>
    <col min="3" max="3" width="7.7109375" style="0" customWidth="1"/>
    <col min="4" max="4" width="5.421875" style="0" bestFit="1" customWidth="1"/>
    <col min="5" max="5" width="4.28125" style="0" bestFit="1" customWidth="1"/>
    <col min="6" max="6" width="12.57421875" style="0" customWidth="1"/>
    <col min="7" max="7" width="6.421875" style="0" customWidth="1"/>
    <col min="8" max="8" width="4.7109375" style="0" customWidth="1"/>
    <col min="9" max="9" width="6.57421875" style="0" bestFit="1" customWidth="1"/>
    <col min="10" max="10" width="4.8515625" style="0" customWidth="1"/>
    <col min="11" max="11" width="4.421875" style="0" bestFit="1" customWidth="1"/>
    <col min="12" max="12" width="4.28125" style="0" bestFit="1" customWidth="1"/>
    <col min="13" max="13" width="12.7109375" style="0" customWidth="1"/>
    <col min="14" max="14" width="6.57421875" style="0" customWidth="1"/>
    <col min="15" max="15" width="4.7109375" style="0" customWidth="1"/>
    <col min="16" max="16" width="6.57421875" style="0" bestFit="1" customWidth="1"/>
    <col min="17" max="17" width="4.7109375" style="0" customWidth="1"/>
    <col min="18" max="18" width="4.421875" style="0" bestFit="1" customWidth="1"/>
    <col min="19" max="21" width="4.7109375" style="0" customWidth="1"/>
  </cols>
  <sheetData>
    <row r="1" spans="1:13" ht="12.75">
      <c r="A1" t="s">
        <v>24</v>
      </c>
      <c r="F1" t="s">
        <v>26</v>
      </c>
      <c r="M1" t="s">
        <v>27</v>
      </c>
    </row>
    <row r="2" spans="1:18" ht="12.75">
      <c r="A2" t="s">
        <v>19</v>
      </c>
      <c r="B2" t="s">
        <v>20</v>
      </c>
      <c r="C2" t="s">
        <v>21</v>
      </c>
      <c r="D2" t="s">
        <v>22</v>
      </c>
      <c r="E2" t="s">
        <v>29</v>
      </c>
      <c r="F2" t="s">
        <v>28</v>
      </c>
      <c r="G2" t="s">
        <v>23</v>
      </c>
      <c r="H2" t="s">
        <v>24</v>
      </c>
      <c r="I2" t="s">
        <v>25</v>
      </c>
      <c r="J2" t="s">
        <v>4</v>
      </c>
      <c r="K2" t="s">
        <v>0</v>
      </c>
      <c r="L2" t="s">
        <v>29</v>
      </c>
      <c r="M2" t="s">
        <v>28</v>
      </c>
      <c r="N2" t="s">
        <v>23</v>
      </c>
      <c r="O2" t="s">
        <v>24</v>
      </c>
      <c r="P2" t="s">
        <v>25</v>
      </c>
      <c r="Q2" t="s">
        <v>4</v>
      </c>
      <c r="R2" t="s">
        <v>0</v>
      </c>
    </row>
    <row r="3" spans="1:18" ht="12.75">
      <c r="A3">
        <v>1</v>
      </c>
      <c r="B3">
        <v>2</v>
      </c>
      <c r="C3">
        <v>3</v>
      </c>
      <c r="D3" s="10">
        <v>1</v>
      </c>
      <c r="E3">
        <f aca="true" t="shared" si="0" ref="E3:E8">B3*10+C3</f>
        <v>23</v>
      </c>
      <c r="F3" t="str">
        <f>VLOOKUP(CONCATENATE($A$1,B3),Eingabe_Allgemein!$A$2:$E$9,4,FALSE)</f>
        <v>Roos</v>
      </c>
      <c r="G3" s="10">
        <v>26</v>
      </c>
      <c r="H3" s="10">
        <v>40</v>
      </c>
      <c r="I3" s="58">
        <f aca="true" t="shared" si="1" ref="I3:I8">IF(H3=0,0,INT(G3/H3*1000)/1000)</f>
        <v>0.65</v>
      </c>
      <c r="J3" s="10">
        <v>4</v>
      </c>
      <c r="K3">
        <f aca="true" t="shared" si="2" ref="K3:K8">IF(H3&gt;0,IF(G3&gt;N3,2,IF(G3&lt;N3,0,1)),0)</f>
        <v>0</v>
      </c>
      <c r="L3">
        <f aca="true" t="shared" si="3" ref="L3:L8">C3*10+B3</f>
        <v>32</v>
      </c>
      <c r="M3" t="str">
        <f>VLOOKUP(CONCATENATE($A$1,C3),Eingabe_Allgemein!$A$2:$E$9,4,FALSE)</f>
        <v>Patett</v>
      </c>
      <c r="N3" s="10">
        <v>30</v>
      </c>
      <c r="O3" s="2">
        <f aca="true" t="shared" si="4" ref="O3:O8">IF(ISBLANK(H3),"",H3)</f>
        <v>40</v>
      </c>
      <c r="P3" s="58">
        <f aca="true" t="shared" si="5" ref="P3:P8">IF(H3=0,0,INT(N3/H3*1000)/1000)</f>
        <v>0.75</v>
      </c>
      <c r="Q3" s="10">
        <v>3</v>
      </c>
      <c r="R3">
        <f aca="true" t="shared" si="6" ref="R3:R8">IF(H3&gt;0,IF(G3&gt;N3,0,IF(G3&lt;N3,2,1)),0)</f>
        <v>2</v>
      </c>
    </row>
    <row r="4" spans="1:18" ht="12.75">
      <c r="A4">
        <v>2</v>
      </c>
      <c r="B4">
        <v>1</v>
      </c>
      <c r="C4">
        <v>4</v>
      </c>
      <c r="D4" s="10">
        <v>2</v>
      </c>
      <c r="E4">
        <f t="shared" si="0"/>
        <v>14</v>
      </c>
      <c r="F4" t="str">
        <f>VLOOKUP(CONCATENATE($A$1,B4),Eingabe_Allgemein!$A$2:$E$9,4,FALSE)</f>
        <v>Krümmel</v>
      </c>
      <c r="G4" s="10">
        <v>15</v>
      </c>
      <c r="H4" s="10">
        <v>40</v>
      </c>
      <c r="I4" s="58">
        <f t="shared" si="1"/>
        <v>0.375</v>
      </c>
      <c r="J4" s="10">
        <v>4</v>
      </c>
      <c r="K4">
        <f t="shared" si="2"/>
        <v>0</v>
      </c>
      <c r="L4">
        <f t="shared" si="3"/>
        <v>41</v>
      </c>
      <c r="M4" t="str">
        <f>VLOOKUP(CONCATENATE($A$1,C4),Eingabe_Allgemein!$A$2:$E$9,4,FALSE)</f>
        <v>Löwe</v>
      </c>
      <c r="N4" s="10">
        <v>37</v>
      </c>
      <c r="O4" s="2">
        <f t="shared" si="4"/>
        <v>40</v>
      </c>
      <c r="P4" s="58">
        <f t="shared" si="5"/>
        <v>0.925</v>
      </c>
      <c r="Q4" s="10">
        <v>4</v>
      </c>
      <c r="R4">
        <f t="shared" si="6"/>
        <v>2</v>
      </c>
    </row>
    <row r="5" spans="1:18" ht="12.75">
      <c r="A5">
        <v>3</v>
      </c>
      <c r="B5">
        <f>IF(R3=2,B3,C3)</f>
        <v>2</v>
      </c>
      <c r="C5">
        <f>IF(R4=2,B4,C4)</f>
        <v>1</v>
      </c>
      <c r="D5" s="10">
        <v>2</v>
      </c>
      <c r="E5">
        <f t="shared" si="0"/>
        <v>21</v>
      </c>
      <c r="F5" t="str">
        <f>VLOOKUP(CONCATENATE($A$1,B5),Eingabe_Allgemein!$A$2:$E$9,4,FALSE)</f>
        <v>Roos</v>
      </c>
      <c r="G5" s="10">
        <v>30</v>
      </c>
      <c r="H5" s="10">
        <v>40</v>
      </c>
      <c r="I5" s="58">
        <f t="shared" si="1"/>
        <v>0.75</v>
      </c>
      <c r="J5" s="10">
        <v>3</v>
      </c>
      <c r="K5">
        <f t="shared" si="2"/>
        <v>2</v>
      </c>
      <c r="L5">
        <f t="shared" si="3"/>
        <v>12</v>
      </c>
      <c r="M5" t="str">
        <f>VLOOKUP(CONCATENATE($A$1,C5),Eingabe_Allgemein!$A$2:$E$9,4,FALSE)</f>
        <v>Krümmel</v>
      </c>
      <c r="N5" s="10">
        <v>25</v>
      </c>
      <c r="O5" s="2">
        <f t="shared" si="4"/>
        <v>40</v>
      </c>
      <c r="P5" s="58">
        <f t="shared" si="5"/>
        <v>0.625</v>
      </c>
      <c r="Q5" s="10">
        <v>3</v>
      </c>
      <c r="R5">
        <f t="shared" si="6"/>
        <v>0</v>
      </c>
    </row>
    <row r="6" spans="1:18" ht="12.75">
      <c r="A6">
        <v>4</v>
      </c>
      <c r="B6">
        <f>IF(B5=B3,C3,B3)</f>
        <v>3</v>
      </c>
      <c r="C6">
        <f>IF(C5=C4,B4,C4)</f>
        <v>4</v>
      </c>
      <c r="D6" s="10">
        <v>1</v>
      </c>
      <c r="E6">
        <f t="shared" si="0"/>
        <v>34</v>
      </c>
      <c r="F6" t="str">
        <f>VLOOKUP(CONCATENATE($A$1,B6),Eingabe_Allgemein!$A$2:$E$9,4,FALSE)</f>
        <v>Patett</v>
      </c>
      <c r="G6" s="10">
        <v>36</v>
      </c>
      <c r="H6" s="10">
        <v>40</v>
      </c>
      <c r="I6" s="58">
        <f t="shared" si="1"/>
        <v>0.9</v>
      </c>
      <c r="J6" s="10">
        <v>4</v>
      </c>
      <c r="K6">
        <f t="shared" si="2"/>
        <v>1</v>
      </c>
      <c r="L6">
        <f t="shared" si="3"/>
        <v>43</v>
      </c>
      <c r="M6" t="str">
        <f>VLOOKUP(CONCATENATE($A$1,C6),Eingabe_Allgemein!$A$2:$E$9,4,FALSE)</f>
        <v>Löwe</v>
      </c>
      <c r="N6" s="10">
        <v>36</v>
      </c>
      <c r="O6" s="2">
        <f t="shared" si="4"/>
        <v>40</v>
      </c>
      <c r="P6" s="58">
        <f t="shared" si="5"/>
        <v>0.9</v>
      </c>
      <c r="Q6" s="10">
        <v>6</v>
      </c>
      <c r="R6">
        <f t="shared" si="6"/>
        <v>1</v>
      </c>
    </row>
    <row r="7" spans="1:18" ht="12.75">
      <c r="A7">
        <v>5</v>
      </c>
      <c r="B7">
        <v>1</v>
      </c>
      <c r="C7">
        <f>9-SUMIF(B3:B6,1,C3:C6)-SUMIF(C3:C6,1,B3:B6)</f>
        <v>3</v>
      </c>
      <c r="D7" s="10"/>
      <c r="E7">
        <f t="shared" si="0"/>
        <v>13</v>
      </c>
      <c r="F7" t="str">
        <f>VLOOKUP(CONCATENATE($A$1,B7),Eingabe_Allgemein!$A$2:$E$9,4,FALSE)</f>
        <v>Krümmel</v>
      </c>
      <c r="G7" s="10">
        <v>21</v>
      </c>
      <c r="H7" s="10">
        <v>40</v>
      </c>
      <c r="I7" s="58">
        <f t="shared" si="1"/>
        <v>0.525</v>
      </c>
      <c r="J7" s="10">
        <v>4</v>
      </c>
      <c r="K7">
        <f t="shared" si="2"/>
        <v>0</v>
      </c>
      <c r="L7">
        <f t="shared" si="3"/>
        <v>31</v>
      </c>
      <c r="M7" t="str">
        <f>VLOOKUP(CONCATENATE($A$1,C7),Eingabe_Allgemein!$A$2:$E$9,4,FALSE)</f>
        <v>Patett</v>
      </c>
      <c r="N7" s="10">
        <v>23</v>
      </c>
      <c r="O7" s="2">
        <f t="shared" si="4"/>
        <v>40</v>
      </c>
      <c r="P7" s="58">
        <f t="shared" si="5"/>
        <v>0.575</v>
      </c>
      <c r="Q7" s="10">
        <v>4</v>
      </c>
      <c r="R7">
        <f t="shared" si="6"/>
        <v>2</v>
      </c>
    </row>
    <row r="8" spans="1:18" ht="12.75">
      <c r="A8">
        <v>6</v>
      </c>
      <c r="B8">
        <f>5-C7</f>
        <v>2</v>
      </c>
      <c r="C8">
        <f>10-B7-C7-B8</f>
        <v>4</v>
      </c>
      <c r="D8" s="10"/>
      <c r="E8">
        <f t="shared" si="0"/>
        <v>24</v>
      </c>
      <c r="F8" t="str">
        <f>VLOOKUP(CONCATENATE($A$1,B8),Eingabe_Allgemein!$A$2:$E$9,4,FALSE)</f>
        <v>Roos</v>
      </c>
      <c r="G8" s="10">
        <v>21</v>
      </c>
      <c r="H8" s="10">
        <v>33</v>
      </c>
      <c r="I8" s="58">
        <f t="shared" si="1"/>
        <v>0.636</v>
      </c>
      <c r="J8" s="10">
        <v>3</v>
      </c>
      <c r="K8">
        <f t="shared" si="2"/>
        <v>0</v>
      </c>
      <c r="L8">
        <f t="shared" si="3"/>
        <v>42</v>
      </c>
      <c r="M8" t="str">
        <f>VLOOKUP(CONCATENATE($A$1,C8),Eingabe_Allgemein!$A$2:$E$9,4,FALSE)</f>
        <v>Löwe</v>
      </c>
      <c r="N8" s="10">
        <v>40</v>
      </c>
      <c r="O8" s="2">
        <f t="shared" si="4"/>
        <v>33</v>
      </c>
      <c r="P8" s="58">
        <f t="shared" si="5"/>
        <v>1.212</v>
      </c>
      <c r="Q8" s="10">
        <v>8</v>
      </c>
      <c r="R8">
        <f t="shared" si="6"/>
        <v>2</v>
      </c>
    </row>
    <row r="10" spans="1:14" ht="12.75">
      <c r="A10" t="s">
        <v>31</v>
      </c>
      <c r="B10" s="129" t="s">
        <v>28</v>
      </c>
      <c r="C10" s="129"/>
      <c r="D10" t="s">
        <v>23</v>
      </c>
      <c r="E10" t="s">
        <v>24</v>
      </c>
      <c r="F10" t="s">
        <v>25</v>
      </c>
      <c r="G10" t="s">
        <v>4</v>
      </c>
      <c r="H10" t="s">
        <v>0</v>
      </c>
      <c r="I10" t="s">
        <v>3</v>
      </c>
      <c r="J10" t="s">
        <v>32</v>
      </c>
      <c r="K10" t="s">
        <v>34</v>
      </c>
      <c r="L10" t="s">
        <v>31</v>
      </c>
      <c r="M10" t="s">
        <v>33</v>
      </c>
      <c r="N10" t="s">
        <v>36</v>
      </c>
    </row>
    <row r="11" spans="1:14" ht="12.75">
      <c r="A11">
        <v>1</v>
      </c>
      <c r="B11" s="3" t="str">
        <f>VLOOKUP(CONCATENATE($A$1,A11),Eingabe_Allgemein!$A$2:$E$9,4,FALSE)</f>
        <v>Krümmel</v>
      </c>
      <c r="C11" s="3"/>
      <c r="D11">
        <f>SUM(D17:D19)</f>
        <v>61</v>
      </c>
      <c r="E11">
        <f>SUM(E17:E19)</f>
        <v>120</v>
      </c>
      <c r="F11" s="58">
        <f>IF(E11&gt;0,D11/E11,0)</f>
        <v>0.5083333333333333</v>
      </c>
      <c r="G11">
        <f>MAX(G17:G19)</f>
        <v>4</v>
      </c>
      <c r="H11">
        <f>SUM(H17:H19)</f>
        <v>0</v>
      </c>
      <c r="I11" s="58">
        <f>I19</f>
        <v>0</v>
      </c>
      <c r="J11" s="10">
        <v>1</v>
      </c>
      <c r="K11" s="4">
        <f>(8-H11)*10+J11/100000000-F11/1000</f>
        <v>79.99949167666666</v>
      </c>
      <c r="L11">
        <v>1</v>
      </c>
      <c r="M11">
        <f>VLOOKUP(L11,B$49:C$52,2,FALSE)</f>
        <v>4</v>
      </c>
      <c r="N11" s="58">
        <f>INT(F11*1000)/1000</f>
        <v>0.508</v>
      </c>
    </row>
    <row r="12" spans="1:14" ht="12.75">
      <c r="A12">
        <v>2</v>
      </c>
      <c r="B12" s="3" t="str">
        <f>VLOOKUP(CONCATENATE($A$1,A12),Eingabe_Allgemein!$A$2:$E$9,4,FALSE)</f>
        <v>Roos</v>
      </c>
      <c r="C12" s="3"/>
      <c r="D12">
        <f>SUM(D25:D27)</f>
        <v>77</v>
      </c>
      <c r="E12">
        <f>SUM(E25:E27)</f>
        <v>113</v>
      </c>
      <c r="F12" s="58">
        <f>IF(E12&gt;0,D12/E12,0)</f>
        <v>0.6814159292035398</v>
      </c>
      <c r="G12">
        <f>MAX(G25:G27)</f>
        <v>4</v>
      </c>
      <c r="H12">
        <f>SUM(H25:H27)</f>
        <v>2</v>
      </c>
      <c r="I12" s="58">
        <f>I27</f>
        <v>0.75</v>
      </c>
      <c r="J12" s="10">
        <v>2</v>
      </c>
      <c r="K12" s="4">
        <f>(8-H12)*10+J12/100000000-F12/1000</f>
        <v>59.9993186040708</v>
      </c>
      <c r="L12">
        <v>2</v>
      </c>
      <c r="M12">
        <f>VLOOKUP(L12,B$49:C$52,2,FALSE)</f>
        <v>3</v>
      </c>
      <c r="N12" s="58">
        <f>INT(F12*1000)/1000</f>
        <v>0.681</v>
      </c>
    </row>
    <row r="13" spans="1:14" ht="12.75">
      <c r="A13">
        <v>3</v>
      </c>
      <c r="B13" s="3" t="str">
        <f>VLOOKUP(CONCATENATE($A$1,A13),Eingabe_Allgemein!$A$2:$E$9,4,FALSE)</f>
        <v>Patett</v>
      </c>
      <c r="C13" s="3"/>
      <c r="D13">
        <f>SUM(D33:D35)</f>
        <v>89</v>
      </c>
      <c r="E13">
        <f>SUM(E33:E35)</f>
        <v>120</v>
      </c>
      <c r="F13" s="58">
        <f>IF(E13&gt;0,D13/E13,0)</f>
        <v>0.7416666666666667</v>
      </c>
      <c r="G13">
        <f>MAX(G33:G35)</f>
        <v>4</v>
      </c>
      <c r="H13">
        <f>SUM(H33:H35)</f>
        <v>5</v>
      </c>
      <c r="I13" s="58">
        <f>I35</f>
        <v>0.9</v>
      </c>
      <c r="J13" s="10">
        <v>3</v>
      </c>
      <c r="K13" s="4">
        <f>(8-H13)*10+J13/100000000-F13/1000</f>
        <v>29.999258363333333</v>
      </c>
      <c r="L13">
        <v>3</v>
      </c>
      <c r="M13">
        <f>VLOOKUP(L13,B$49:C$52,2,FALSE)</f>
        <v>2</v>
      </c>
      <c r="N13" s="58">
        <f>INT(F13*1000)/1000</f>
        <v>0.741</v>
      </c>
    </row>
    <row r="14" spans="1:14" ht="12.75">
      <c r="A14">
        <v>4</v>
      </c>
      <c r="B14" s="3" t="str">
        <f>VLOOKUP(CONCATENATE($A$1,A14),Eingabe_Allgemein!$A$2:$E$9,4,FALSE)</f>
        <v>Löwe</v>
      </c>
      <c r="C14" s="3"/>
      <c r="D14">
        <f>SUM(D41:D43)</f>
        <v>113</v>
      </c>
      <c r="E14">
        <f>SUM(E41:E43)</f>
        <v>113</v>
      </c>
      <c r="F14" s="58">
        <f>IF(E14&gt;0,D14/E14,0)</f>
        <v>1</v>
      </c>
      <c r="G14">
        <f>MAX(G41:G43)</f>
        <v>8</v>
      </c>
      <c r="H14">
        <f>SUM(H41:H43)</f>
        <v>5</v>
      </c>
      <c r="I14" s="58">
        <f>I43</f>
        <v>1.212</v>
      </c>
      <c r="J14" s="10">
        <v>4</v>
      </c>
      <c r="K14" s="4">
        <f>(8-H14)*10+J14/100000000-F14/1000</f>
        <v>29.99900004</v>
      </c>
      <c r="L14">
        <v>4</v>
      </c>
      <c r="M14">
        <f>VLOOKUP(L14,B$49:C$52,2,FALSE)</f>
        <v>1</v>
      </c>
      <c r="N14" s="58">
        <f>INT(F14*1000)/1000</f>
        <v>1</v>
      </c>
    </row>
    <row r="16" spans="1:14" ht="12.75">
      <c r="A16" s="129" t="str">
        <f>VLOOKUP(CONCATENATE($A$1,A17),Eingabe_Allgemein!$A$2:$E$9,4,FALSE)</f>
        <v>Krümmel</v>
      </c>
      <c r="B16" s="129"/>
      <c r="C16" t="s">
        <v>29</v>
      </c>
      <c r="D16" t="s">
        <v>23</v>
      </c>
      <c r="E16" t="s">
        <v>24</v>
      </c>
      <c r="F16" t="s">
        <v>25</v>
      </c>
      <c r="G16" t="s">
        <v>4</v>
      </c>
      <c r="H16" t="s">
        <v>0</v>
      </c>
      <c r="I16" t="s">
        <v>3</v>
      </c>
      <c r="J16" t="s">
        <v>77</v>
      </c>
      <c r="M16" t="s">
        <v>50</v>
      </c>
      <c r="N16" s="12">
        <v>1</v>
      </c>
    </row>
    <row r="17" spans="1:13" ht="12.75">
      <c r="A17">
        <v>1</v>
      </c>
      <c r="B17">
        <v>2</v>
      </c>
      <c r="C17">
        <f>A17*10+B17</f>
        <v>12</v>
      </c>
      <c r="D17">
        <f aca="true" t="shared" si="7" ref="D17:H19">SUMIF($E$3:$E$8,$C17,G$3:G$8)+SUMIF($L$3:$L$8,$C17,N$3:N$8)</f>
        <v>25</v>
      </c>
      <c r="E17">
        <f t="shared" si="7"/>
        <v>40</v>
      </c>
      <c r="F17" s="58">
        <f t="shared" si="7"/>
        <v>0.625</v>
      </c>
      <c r="G17">
        <f t="shared" si="7"/>
        <v>3</v>
      </c>
      <c r="H17">
        <f t="shared" si="7"/>
        <v>0</v>
      </c>
      <c r="I17" s="58">
        <f>IF(H17&gt;=$N$16,F17,0)</f>
        <v>0</v>
      </c>
      <c r="J17">
        <f>IF(E17&gt;0,2-H17,0)</f>
        <v>2</v>
      </c>
      <c r="M17" t="s">
        <v>51</v>
      </c>
    </row>
    <row r="18" spans="1:10" ht="12.75">
      <c r="A18">
        <v>1</v>
      </c>
      <c r="B18">
        <v>3</v>
      </c>
      <c r="C18">
        <f>A18*10+B18</f>
        <v>13</v>
      </c>
      <c r="D18">
        <f t="shared" si="7"/>
        <v>21</v>
      </c>
      <c r="E18">
        <f t="shared" si="7"/>
        <v>40</v>
      </c>
      <c r="F18" s="58">
        <f t="shared" si="7"/>
        <v>0.525</v>
      </c>
      <c r="G18">
        <f t="shared" si="7"/>
        <v>4</v>
      </c>
      <c r="H18">
        <f t="shared" si="7"/>
        <v>0</v>
      </c>
      <c r="I18" s="58">
        <f>IF(H18&gt;=$N$16,IF(F18&gt;I17,F18,I17),I17)</f>
        <v>0</v>
      </c>
      <c r="J18">
        <f>IF(E18&gt;0,2-H18,0)</f>
        <v>2</v>
      </c>
    </row>
    <row r="19" spans="1:10" ht="12.75">
      <c r="A19">
        <v>1</v>
      </c>
      <c r="B19">
        <v>4</v>
      </c>
      <c r="C19">
        <f>A19*10+B19</f>
        <v>14</v>
      </c>
      <c r="D19">
        <f t="shared" si="7"/>
        <v>15</v>
      </c>
      <c r="E19">
        <f t="shared" si="7"/>
        <v>40</v>
      </c>
      <c r="F19" s="58">
        <f t="shared" si="7"/>
        <v>0.375</v>
      </c>
      <c r="G19">
        <f t="shared" si="7"/>
        <v>4</v>
      </c>
      <c r="H19">
        <f t="shared" si="7"/>
        <v>0</v>
      </c>
      <c r="I19" s="58">
        <f>IF(H19&gt;=$N$16,IF(F19&gt;I18,F19,I18),I18)</f>
        <v>0</v>
      </c>
      <c r="J19">
        <f>IF(E19&gt;0,2-H19,0)</f>
        <v>2</v>
      </c>
    </row>
    <row r="20" spans="1:10" ht="12.75">
      <c r="A20" t="str">
        <f>CONCATENATE($A$1,A17)</f>
        <v>A1</v>
      </c>
      <c r="C20" t="s">
        <v>59</v>
      </c>
      <c r="D20">
        <f>SUMIF(Blatt_1_und_2!$N$30:$N$45,$A20,Blatt_1_und_2!$H$30:$H$45)</f>
        <v>24</v>
      </c>
      <c r="E20">
        <f>SUMIF(Blatt_1_und_2!$N$30:$N$45,$A20,Blatt_1_und_2!$I$30:$I$45)</f>
        <v>40</v>
      </c>
      <c r="F20" s="58">
        <f>SUMIF(Blatt_1_und_2!$N$30:$N$45,$A20,Blatt_1_und_2!$K$30:$K$45)</f>
        <v>0.6</v>
      </c>
      <c r="G20">
        <f>SUMIF(Blatt_1_und_2!$N$30:$N$45,$A20,Blatt_1_und_2!$M$30:$M$45)</f>
        <v>3</v>
      </c>
      <c r="H20">
        <f>SUMIF(Blatt_1_und_2!$N$30:$N$45,$A20,Blatt_1_und_2!$G$30:$G$45)</f>
        <v>0</v>
      </c>
      <c r="I20" s="58">
        <f>IF(H20&gt;=$N$16,IF(F20&gt;I19,F20,I19),I19)</f>
        <v>0</v>
      </c>
      <c r="J20">
        <f>IF(E20&gt;0,2-H20,0)</f>
        <v>2</v>
      </c>
    </row>
    <row r="21" spans="1:10" ht="12.75">
      <c r="A21" t="str">
        <f>A20</f>
        <v>A1</v>
      </c>
      <c r="C21" s="5" t="s">
        <v>60</v>
      </c>
      <c r="D21">
        <f>SUMIF(Blatt_1_und_2!$N$49:$N$55,$A21,Blatt_1_und_2!$H$49:$H$55)</f>
        <v>0</v>
      </c>
      <c r="E21">
        <f>SUMIF(Blatt_1_und_2!$N$49:$N$55,$A21,Blatt_1_und_2!$I$49:$I$55)</f>
        <v>0</v>
      </c>
      <c r="F21" s="58">
        <f>SUMIF(Blatt_1_und_2!$N$49:$N$55,$A21,Blatt_1_und_2!$K$49:$K$55)</f>
        <v>0</v>
      </c>
      <c r="G21">
        <f>SUMIF(Blatt_1_und_2!$N$49:$N$55,$A21,Blatt_1_und_2!$M$49:$M$55)</f>
        <v>0</v>
      </c>
      <c r="H21">
        <f>SUMIF(Blatt_1_und_2!$N$49:$N$55,$A21,Blatt_1_und_2!$G$49:$G$55)</f>
        <v>0</v>
      </c>
      <c r="I21" s="58">
        <f>IF(H21&gt;=$N$16,IF(F21&gt;I20,F21,I20),I20)</f>
        <v>0</v>
      </c>
      <c r="J21">
        <f>IF(E21&gt;0,2-H21,0)</f>
        <v>0</v>
      </c>
    </row>
    <row r="22" spans="3:10" ht="12.75">
      <c r="C22" t="s">
        <v>61</v>
      </c>
      <c r="D22">
        <f>SUM(D17:D21)</f>
        <v>85</v>
      </c>
      <c r="E22">
        <f>SUM(E17:E21)</f>
        <v>160</v>
      </c>
      <c r="F22" s="58">
        <f>IF(E22&gt;0,D22/E22,0)</f>
        <v>0.53125</v>
      </c>
      <c r="G22">
        <f>MAX(G17:G21)</f>
        <v>4</v>
      </c>
      <c r="H22">
        <f>SUM(H17:H21)</f>
        <v>0</v>
      </c>
      <c r="I22" s="58">
        <f>I21</f>
        <v>0</v>
      </c>
      <c r="J22">
        <f>SUM(J17:J21)</f>
        <v>8</v>
      </c>
    </row>
    <row r="24" spans="1:10" ht="12.75">
      <c r="A24" s="129" t="str">
        <f>VLOOKUP(CONCATENATE($A$1,A25),Eingabe_Allgemein!$A$2:$E$9,4,FALSE)</f>
        <v>Roos</v>
      </c>
      <c r="B24" s="129"/>
      <c r="C24" t="s">
        <v>29</v>
      </c>
      <c r="D24" t="s">
        <v>23</v>
      </c>
      <c r="E24" t="s">
        <v>24</v>
      </c>
      <c r="F24" t="s">
        <v>25</v>
      </c>
      <c r="G24" t="s">
        <v>4</v>
      </c>
      <c r="H24" t="s">
        <v>0</v>
      </c>
      <c r="I24" t="s">
        <v>3</v>
      </c>
      <c r="J24" t="s">
        <v>77</v>
      </c>
    </row>
    <row r="25" spans="1:10" ht="12.75">
      <c r="A25">
        <v>2</v>
      </c>
      <c r="B25">
        <v>1</v>
      </c>
      <c r="C25">
        <f>A25*10+B25</f>
        <v>21</v>
      </c>
      <c r="D25">
        <f aca="true" t="shared" si="8" ref="D25:H27">SUMIF($E$3:$E$8,$C25,G$3:G$8)+SUMIF($L$3:$L$8,$C25,N$3:N$8)</f>
        <v>30</v>
      </c>
      <c r="E25">
        <f t="shared" si="8"/>
        <v>40</v>
      </c>
      <c r="F25" s="58">
        <f t="shared" si="8"/>
        <v>0.75</v>
      </c>
      <c r="G25">
        <f t="shared" si="8"/>
        <v>3</v>
      </c>
      <c r="H25">
        <f t="shared" si="8"/>
        <v>2</v>
      </c>
      <c r="I25" s="58">
        <f>IF(H25&gt;=$N$16,F25,0)</f>
        <v>0.75</v>
      </c>
      <c r="J25">
        <f>IF(E25&gt;0,2-H25,0)</f>
        <v>0</v>
      </c>
    </row>
    <row r="26" spans="1:10" ht="12.75">
      <c r="A26">
        <v>2</v>
      </c>
      <c r="B26">
        <v>3</v>
      </c>
      <c r="C26">
        <f>A26*10+B26</f>
        <v>23</v>
      </c>
      <c r="D26">
        <f t="shared" si="8"/>
        <v>26</v>
      </c>
      <c r="E26">
        <f t="shared" si="8"/>
        <v>40</v>
      </c>
      <c r="F26" s="58">
        <f t="shared" si="8"/>
        <v>0.65</v>
      </c>
      <c r="G26">
        <f t="shared" si="8"/>
        <v>4</v>
      </c>
      <c r="H26">
        <f t="shared" si="8"/>
        <v>0</v>
      </c>
      <c r="I26" s="58">
        <f>IF(H26&gt;=$N$16,IF(F26&gt;I25,F26,I25),I25)</f>
        <v>0.75</v>
      </c>
      <c r="J26">
        <f>IF(E26&gt;0,2-H26,0)</f>
        <v>2</v>
      </c>
    </row>
    <row r="27" spans="1:10" ht="12.75">
      <c r="A27">
        <v>2</v>
      </c>
      <c r="B27">
        <v>4</v>
      </c>
      <c r="C27">
        <f>A27*10+B27</f>
        <v>24</v>
      </c>
      <c r="D27">
        <f t="shared" si="8"/>
        <v>21</v>
      </c>
      <c r="E27">
        <f t="shared" si="8"/>
        <v>33</v>
      </c>
      <c r="F27" s="58">
        <f t="shared" si="8"/>
        <v>0.636</v>
      </c>
      <c r="G27">
        <f t="shared" si="8"/>
        <v>3</v>
      </c>
      <c r="H27">
        <f t="shared" si="8"/>
        <v>0</v>
      </c>
      <c r="I27" s="58">
        <f>IF(H27&gt;=$N$16,IF(F27&gt;I26,F27,I26),I26)</f>
        <v>0.75</v>
      </c>
      <c r="J27">
        <f>IF(E27&gt;0,2-H27,0)</f>
        <v>2</v>
      </c>
    </row>
    <row r="28" spans="1:10" ht="12.75">
      <c r="A28" t="str">
        <f>CONCATENATE($A$1,A25)</f>
        <v>A2</v>
      </c>
      <c r="C28" t="s">
        <v>59</v>
      </c>
      <c r="D28">
        <f>SUMIF(Blatt_1_und_2!$N$30:$N$45,$A28,Blatt_1_und_2!$H$30:$H$45)</f>
        <v>30</v>
      </c>
      <c r="E28">
        <f>SUMIF(Blatt_1_und_2!$N$30:$N$45,$A28,Blatt_1_und_2!$I$30:$I$45)</f>
        <v>40</v>
      </c>
      <c r="F28" s="58">
        <f>SUMIF(Blatt_1_und_2!$N$30:$N$45,$A28,Blatt_1_und_2!$K$30:$K$45)</f>
        <v>0.75</v>
      </c>
      <c r="G28">
        <f>SUMIF(Blatt_1_und_2!$N$30:$N$45,$A28,Blatt_1_und_2!$M$30:$M$45)</f>
        <v>3</v>
      </c>
      <c r="H28">
        <f>SUMIF(Blatt_1_und_2!$N$30:$N$45,$A28,Blatt_1_und_2!$G$30:$G$45)</f>
        <v>0</v>
      </c>
      <c r="I28" s="58">
        <f>IF(H28&gt;=$N$16,IF(F28&gt;I27,F28,I27),I27)</f>
        <v>0.75</v>
      </c>
      <c r="J28">
        <f>IF(E28&gt;0,2-H28,0)</f>
        <v>2</v>
      </c>
    </row>
    <row r="29" spans="1:10" ht="12.75">
      <c r="A29" t="str">
        <f>A28</f>
        <v>A2</v>
      </c>
      <c r="C29" s="5" t="s">
        <v>60</v>
      </c>
      <c r="D29">
        <f>SUMIF(Blatt_1_und_2!$N$49:$N$55,$A29,Blatt_1_und_2!$H$49:$H$55)</f>
        <v>0</v>
      </c>
      <c r="E29">
        <f>SUMIF(Blatt_1_und_2!$N$49:$N$55,$A29,Blatt_1_und_2!$I$49:$I$55)</f>
        <v>0</v>
      </c>
      <c r="F29" s="58">
        <f>SUMIF(Blatt_1_und_2!$N$49:$N$55,$A29,Blatt_1_und_2!$K$49:$K$55)</f>
        <v>0</v>
      </c>
      <c r="G29">
        <f>SUMIF(Blatt_1_und_2!$N$49:$N$55,$A29,Blatt_1_und_2!$M$49:$M$55)</f>
        <v>0</v>
      </c>
      <c r="H29">
        <f>SUMIF(Blatt_1_und_2!$N$49:$N$55,$A29,Blatt_1_und_2!$G$49:$G$55)</f>
        <v>0</v>
      </c>
      <c r="I29" s="58">
        <f>IF(H29&gt;=$N$16,IF(F29&gt;I28,F29,I28),I28)</f>
        <v>0.75</v>
      </c>
      <c r="J29">
        <f>IF(E29&gt;0,2-H29,0)</f>
        <v>0</v>
      </c>
    </row>
    <row r="30" spans="3:10" ht="12.75">
      <c r="C30" t="s">
        <v>61</v>
      </c>
      <c r="D30">
        <f>SUM(D25:D29)</f>
        <v>107</v>
      </c>
      <c r="E30">
        <f>SUM(E25:E29)</f>
        <v>153</v>
      </c>
      <c r="F30" s="58">
        <f>IF(E30&gt;0,D30/E30,0)</f>
        <v>0.6993464052287581</v>
      </c>
      <c r="G30">
        <f>MAX(G25:G29)</f>
        <v>4</v>
      </c>
      <c r="H30">
        <f>SUM(H25:H29)</f>
        <v>2</v>
      </c>
      <c r="I30" s="58">
        <f>I29</f>
        <v>0.75</v>
      </c>
      <c r="J30">
        <f>SUM(J25:J29)</f>
        <v>6</v>
      </c>
    </row>
    <row r="32" spans="1:10" ht="12.75">
      <c r="A32" s="129" t="str">
        <f>VLOOKUP(CONCATENATE($A$1,A33),Eingabe_Allgemein!$A$2:$E$9,4,FALSE)</f>
        <v>Patett</v>
      </c>
      <c r="B32" s="129"/>
      <c r="C32" t="s">
        <v>29</v>
      </c>
      <c r="D32" t="s">
        <v>23</v>
      </c>
      <c r="E32" t="s">
        <v>24</v>
      </c>
      <c r="F32" t="s">
        <v>25</v>
      </c>
      <c r="G32" t="s">
        <v>4</v>
      </c>
      <c r="H32" t="s">
        <v>0</v>
      </c>
      <c r="I32" t="s">
        <v>3</v>
      </c>
      <c r="J32" t="s">
        <v>77</v>
      </c>
    </row>
    <row r="33" spans="1:10" ht="12.75">
      <c r="A33">
        <v>3</v>
      </c>
      <c r="B33">
        <v>1</v>
      </c>
      <c r="C33">
        <f>A33*10+B33</f>
        <v>31</v>
      </c>
      <c r="D33">
        <f aca="true" t="shared" si="9" ref="D33:H35">SUMIF($E$3:$E$8,$C33,G$3:G$8)+SUMIF($L$3:$L$8,$C33,N$3:N$8)</f>
        <v>23</v>
      </c>
      <c r="E33">
        <f t="shared" si="9"/>
        <v>40</v>
      </c>
      <c r="F33" s="58">
        <f t="shared" si="9"/>
        <v>0.575</v>
      </c>
      <c r="G33">
        <f t="shared" si="9"/>
        <v>4</v>
      </c>
      <c r="H33">
        <f t="shared" si="9"/>
        <v>2</v>
      </c>
      <c r="I33" s="58">
        <f>IF(H33&gt;=$N$16,F33,0)</f>
        <v>0.575</v>
      </c>
      <c r="J33">
        <f>IF(E33&gt;0,2-H33,0)</f>
        <v>0</v>
      </c>
    </row>
    <row r="34" spans="1:10" ht="12.75">
      <c r="A34">
        <v>3</v>
      </c>
      <c r="B34">
        <v>2</v>
      </c>
      <c r="C34">
        <f>A34*10+B34</f>
        <v>32</v>
      </c>
      <c r="D34">
        <f t="shared" si="9"/>
        <v>30</v>
      </c>
      <c r="E34">
        <f t="shared" si="9"/>
        <v>40</v>
      </c>
      <c r="F34" s="58">
        <f t="shared" si="9"/>
        <v>0.75</v>
      </c>
      <c r="G34">
        <f t="shared" si="9"/>
        <v>3</v>
      </c>
      <c r="H34">
        <f t="shared" si="9"/>
        <v>2</v>
      </c>
      <c r="I34" s="58">
        <f>IF(H34&gt;=$N$16,IF(F34&gt;I33,F34,I33),I33)</f>
        <v>0.75</v>
      </c>
      <c r="J34">
        <f>IF(E34&gt;0,2-H34,0)</f>
        <v>0</v>
      </c>
    </row>
    <row r="35" spans="1:10" ht="12.75">
      <c r="A35">
        <v>3</v>
      </c>
      <c r="B35">
        <v>4</v>
      </c>
      <c r="C35">
        <f>A35*10+B35</f>
        <v>34</v>
      </c>
      <c r="D35">
        <f t="shared" si="9"/>
        <v>36</v>
      </c>
      <c r="E35">
        <f t="shared" si="9"/>
        <v>40</v>
      </c>
      <c r="F35" s="58">
        <f t="shared" si="9"/>
        <v>0.9</v>
      </c>
      <c r="G35">
        <f t="shared" si="9"/>
        <v>4</v>
      </c>
      <c r="H35">
        <f t="shared" si="9"/>
        <v>1</v>
      </c>
      <c r="I35" s="58">
        <f>IF(H35&gt;=$N$16,IF(F35&gt;I34,F35,I34),I34)</f>
        <v>0.9</v>
      </c>
      <c r="J35">
        <f>IF(E35&gt;0,2-H35,0)</f>
        <v>1</v>
      </c>
    </row>
    <row r="36" spans="1:10" ht="12.75">
      <c r="A36" t="str">
        <f>CONCATENATE($A$1,A33)</f>
        <v>A3</v>
      </c>
      <c r="C36" t="s">
        <v>59</v>
      </c>
      <c r="D36">
        <f>SUMIF(Blatt_1_und_2!$N$30:$N$45,$A36,Blatt_1_und_2!$H$30:$H$45)</f>
        <v>40</v>
      </c>
      <c r="E36">
        <f>SUMIF(Blatt_1_und_2!$N$30:$N$45,$A36,Blatt_1_und_2!$I$30:$I$45)</f>
        <v>34</v>
      </c>
      <c r="F36" s="58">
        <f>SUMIF(Blatt_1_und_2!$N$30:$N$45,$A36,Blatt_1_und_2!$K$30:$K$45)</f>
        <v>1.176</v>
      </c>
      <c r="G36">
        <f>SUMIF(Blatt_1_und_2!$N$30:$N$45,$A36,Blatt_1_und_2!$M$30:$M$45)</f>
        <v>7</v>
      </c>
      <c r="H36">
        <f>SUMIF(Blatt_1_und_2!$N$30:$N$45,$A36,Blatt_1_und_2!$G$30:$G$45)</f>
        <v>2</v>
      </c>
      <c r="I36" s="58">
        <f>IF(H36&gt;=$N$16,IF(F36&gt;I35,F36,I35),I35)</f>
        <v>1.176</v>
      </c>
      <c r="J36">
        <f>IF(E36&gt;0,2-H36,0)</f>
        <v>0</v>
      </c>
    </row>
    <row r="37" spans="1:10" ht="12.75">
      <c r="A37" t="str">
        <f>A36</f>
        <v>A3</v>
      </c>
      <c r="C37" s="5" t="s">
        <v>60</v>
      </c>
      <c r="D37">
        <f>SUMIF(Blatt_1_und_2!$N$49:$N$55,$A37,Blatt_1_und_2!$H$49:$H$55)</f>
        <v>35</v>
      </c>
      <c r="E37">
        <f>SUMIF(Blatt_1_und_2!$N$49:$N$55,$A37,Blatt_1_und_2!$I$49:$I$55)</f>
        <v>62</v>
      </c>
      <c r="F37" s="58">
        <f>SUMIF(Blatt_1_und_2!$N$49:$N$55,$A37,Blatt_1_und_2!$K$49:$K$55)</f>
        <v>0.564</v>
      </c>
      <c r="G37">
        <f>SUMIF(Blatt_1_und_2!$N$49:$N$55,$A37,Blatt_1_und_2!$M$49:$M$55)</f>
        <v>4</v>
      </c>
      <c r="H37">
        <f>SUMIF(Blatt_1_und_2!$N$49:$N$55,$A37,Blatt_1_und_2!$G$49:$G$55)</f>
        <v>0</v>
      </c>
      <c r="I37" s="58">
        <f>IF(H37&gt;=$N$16,IF(F37&gt;I36,F37,I36),I36)</f>
        <v>1.176</v>
      </c>
      <c r="J37">
        <f>IF(E37&gt;0,2-H37,0)</f>
        <v>2</v>
      </c>
    </row>
    <row r="38" spans="3:10" ht="12.75">
      <c r="C38" t="s">
        <v>61</v>
      </c>
      <c r="D38">
        <f>SUM(D33:D37)</f>
        <v>164</v>
      </c>
      <c r="E38">
        <f>SUM(E33:E37)</f>
        <v>216</v>
      </c>
      <c r="F38" s="58">
        <f>IF(E38&gt;0,D38/E38,0)</f>
        <v>0.7592592592592593</v>
      </c>
      <c r="G38">
        <f>MAX(G33:G37)</f>
        <v>7</v>
      </c>
      <c r="H38">
        <f>SUM(H33:H37)</f>
        <v>7</v>
      </c>
      <c r="I38" s="58">
        <f>I37</f>
        <v>1.176</v>
      </c>
      <c r="J38">
        <f>SUM(J33:J37)</f>
        <v>3</v>
      </c>
    </row>
    <row r="40" spans="1:10" ht="12.75">
      <c r="A40" s="129" t="str">
        <f>VLOOKUP(CONCATENATE($A$1,A41),Eingabe_Allgemein!$A$2:$E$9,4,FALSE)</f>
        <v>Löwe</v>
      </c>
      <c r="B40" s="129"/>
      <c r="C40" t="s">
        <v>29</v>
      </c>
      <c r="D40" t="s">
        <v>23</v>
      </c>
      <c r="E40" t="s">
        <v>24</v>
      </c>
      <c r="F40" t="s">
        <v>25</v>
      </c>
      <c r="G40" t="s">
        <v>4</v>
      </c>
      <c r="H40" t="s">
        <v>0</v>
      </c>
      <c r="I40" t="s">
        <v>3</v>
      </c>
      <c r="J40" t="s">
        <v>77</v>
      </c>
    </row>
    <row r="41" spans="1:10" ht="12.75">
      <c r="A41">
        <v>4</v>
      </c>
      <c r="B41">
        <v>1</v>
      </c>
      <c r="C41">
        <f>A41*10+B41</f>
        <v>41</v>
      </c>
      <c r="D41">
        <f aca="true" t="shared" si="10" ref="D41:H43">SUMIF($E$3:$E$8,$C41,G$3:G$8)+SUMIF($L$3:$L$8,$C41,N$3:N$8)</f>
        <v>37</v>
      </c>
      <c r="E41">
        <f t="shared" si="10"/>
        <v>40</v>
      </c>
      <c r="F41" s="58">
        <f t="shared" si="10"/>
        <v>0.925</v>
      </c>
      <c r="G41">
        <f t="shared" si="10"/>
        <v>4</v>
      </c>
      <c r="H41">
        <f t="shared" si="10"/>
        <v>2</v>
      </c>
      <c r="I41" s="58">
        <f>IF(H41&gt;=$N$16,F41,0)</f>
        <v>0.925</v>
      </c>
      <c r="J41">
        <f>IF(E41&gt;0,2-H41,0)</f>
        <v>0</v>
      </c>
    </row>
    <row r="42" spans="1:10" ht="12.75">
      <c r="A42">
        <v>4</v>
      </c>
      <c r="B42">
        <v>2</v>
      </c>
      <c r="C42">
        <f>A42*10+B42</f>
        <v>42</v>
      </c>
      <c r="D42">
        <f t="shared" si="10"/>
        <v>40</v>
      </c>
      <c r="E42">
        <f t="shared" si="10"/>
        <v>33</v>
      </c>
      <c r="F42" s="58">
        <f t="shared" si="10"/>
        <v>1.212</v>
      </c>
      <c r="G42">
        <f t="shared" si="10"/>
        <v>8</v>
      </c>
      <c r="H42">
        <f t="shared" si="10"/>
        <v>2</v>
      </c>
      <c r="I42" s="58">
        <f>IF(H42&gt;=$N$16,IF(F42&gt;I41,F42,I41),I41)</f>
        <v>1.212</v>
      </c>
      <c r="J42">
        <f>IF(E42&gt;0,2-H42,0)</f>
        <v>0</v>
      </c>
    </row>
    <row r="43" spans="1:10" ht="12.75">
      <c r="A43">
        <v>4</v>
      </c>
      <c r="B43">
        <v>3</v>
      </c>
      <c r="C43">
        <f>A43*10+B43</f>
        <v>43</v>
      </c>
      <c r="D43">
        <f t="shared" si="10"/>
        <v>36</v>
      </c>
      <c r="E43">
        <f t="shared" si="10"/>
        <v>40</v>
      </c>
      <c r="F43" s="58">
        <f t="shared" si="10"/>
        <v>0.9</v>
      </c>
      <c r="G43">
        <f t="shared" si="10"/>
        <v>6</v>
      </c>
      <c r="H43">
        <f t="shared" si="10"/>
        <v>1</v>
      </c>
      <c r="I43" s="58">
        <f>IF(H43&gt;=$N$16,IF(F43&gt;I42,F43,I42),I42)</f>
        <v>1.212</v>
      </c>
      <c r="J43">
        <f>IF(E43&gt;0,2-H43,0)</f>
        <v>1</v>
      </c>
    </row>
    <row r="44" spans="1:10" ht="12.75">
      <c r="A44" t="str">
        <f>CONCATENATE($A$1,A41)</f>
        <v>A4</v>
      </c>
      <c r="C44" t="s">
        <v>59</v>
      </c>
      <c r="D44">
        <f>SUMIF(Blatt_1_und_2!$N$30:$N$45,$A44,Blatt_1_und_2!$H$30:$H$45)</f>
        <v>40</v>
      </c>
      <c r="E44">
        <f>SUMIF(Blatt_1_und_2!$N$30:$N$45,$A44,Blatt_1_und_2!$I$30:$I$45)</f>
        <v>61</v>
      </c>
      <c r="F44" s="58">
        <f>SUMIF(Blatt_1_und_2!$N$30:$N$45,$A44,Blatt_1_und_2!$K$30:$K$45)</f>
        <v>0.655</v>
      </c>
      <c r="G44">
        <f>SUMIF(Blatt_1_und_2!$N$30:$N$45,$A44,Blatt_1_und_2!$M$30:$M$45)</f>
        <v>7</v>
      </c>
      <c r="H44">
        <f>SUMIF(Blatt_1_und_2!$N$30:$N$45,$A44,Blatt_1_und_2!$G$30:$G$45)</f>
        <v>2</v>
      </c>
      <c r="I44" s="58">
        <f>IF(H44&gt;=$N$16,IF(F44&gt;I43,F44,I43),I43)</f>
        <v>1.212</v>
      </c>
      <c r="J44">
        <f>IF(E44&gt;0,2-H44,0)</f>
        <v>0</v>
      </c>
    </row>
    <row r="45" spans="1:10" ht="12.75">
      <c r="A45" t="str">
        <f>A44</f>
        <v>A4</v>
      </c>
      <c r="C45" s="5" t="s">
        <v>60</v>
      </c>
      <c r="D45">
        <f>SUMIF(Blatt_1_und_2!$N$49:$N$55,$A45,Blatt_1_und_2!$H$49:$H$55)</f>
        <v>40</v>
      </c>
      <c r="E45">
        <f>SUMIF(Blatt_1_und_2!$N$49:$N$55,$A45,Blatt_1_und_2!$I$49:$I$55)</f>
        <v>62</v>
      </c>
      <c r="F45" s="58">
        <f>SUMIF(Blatt_1_und_2!$N$49:$N$55,$A45,Blatt_1_und_2!$K$49:$K$55)</f>
        <v>0.645</v>
      </c>
      <c r="G45">
        <f>SUMIF(Blatt_1_und_2!$N$49:$N$55,$A45,Blatt_1_und_2!$M$49:$M$55)</f>
        <v>3</v>
      </c>
      <c r="H45">
        <f>SUMIF(Blatt_1_und_2!$N$49:$N$55,$A45,Blatt_1_und_2!$G$49:$G$55)</f>
        <v>2</v>
      </c>
      <c r="I45" s="58">
        <f>IF(H45&gt;=$N$16,IF(F45&gt;I44,F45,I44),I44)</f>
        <v>1.212</v>
      </c>
      <c r="J45">
        <f>IF(E45&gt;0,2-H45,0)</f>
        <v>0</v>
      </c>
    </row>
    <row r="46" spans="3:10" ht="12.75">
      <c r="C46" t="s">
        <v>61</v>
      </c>
      <c r="D46">
        <f>SUM(D41:D45)</f>
        <v>193</v>
      </c>
      <c r="E46">
        <f>SUM(E41:E45)</f>
        <v>236</v>
      </c>
      <c r="F46" s="58">
        <f>IF(E46&gt;0,D46/E46,0)</f>
        <v>0.8177966101694916</v>
      </c>
      <c r="G46">
        <f>MAX(G41:G45)</f>
        <v>8</v>
      </c>
      <c r="H46">
        <f>SUM(H41:H45)</f>
        <v>9</v>
      </c>
      <c r="I46" s="58">
        <f>I45</f>
        <v>1.212</v>
      </c>
      <c r="J46">
        <f>SUM(J41:J45)</f>
        <v>1</v>
      </c>
    </row>
    <row r="48" spans="1:3" ht="12.75">
      <c r="A48" t="s">
        <v>33</v>
      </c>
      <c r="B48" t="s">
        <v>35</v>
      </c>
      <c r="C48" t="s">
        <v>33</v>
      </c>
    </row>
    <row r="49" spans="1:3" ht="12.75">
      <c r="A49">
        <v>1</v>
      </c>
      <c r="B49">
        <f>VLOOKUP(SMALL(K$11:K$14,A49),K$11:M$14,2,FALSE)</f>
        <v>4</v>
      </c>
      <c r="C49">
        <v>1</v>
      </c>
    </row>
    <row r="50" spans="1:3" ht="12.75">
      <c r="A50">
        <v>2</v>
      </c>
      <c r="B50">
        <f>VLOOKUP(SMALL(K$11:K$14,A50),K$11:M$14,2,FALSE)</f>
        <v>3</v>
      </c>
      <c r="C50">
        <v>2</v>
      </c>
    </row>
    <row r="51" spans="1:3" ht="12.75">
      <c r="A51">
        <v>3</v>
      </c>
      <c r="B51">
        <f>VLOOKUP(SMALL(K$11:K$14,A51),K$11:M$14,2,FALSE)</f>
        <v>2</v>
      </c>
      <c r="C51">
        <v>3</v>
      </c>
    </row>
    <row r="52" spans="1:3" ht="12.75">
      <c r="A52">
        <v>4</v>
      </c>
      <c r="B52">
        <f>VLOOKUP(SMALL(K$11:K$14,A52),K$11:M$14,2,FALSE)</f>
        <v>1</v>
      </c>
      <c r="C52">
        <v>4</v>
      </c>
    </row>
  </sheetData>
  <sheetProtection sheet="1" objects="1" scenarios="1"/>
  <mergeCells count="5">
    <mergeCell ref="A40:B40"/>
    <mergeCell ref="B10:C10"/>
    <mergeCell ref="A16:B16"/>
    <mergeCell ref="A24:B24"/>
    <mergeCell ref="A32:B3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R52"/>
  <sheetViews>
    <sheetView zoomScale="90" zoomScaleNormal="90" zoomScalePageLayoutView="0" workbookViewId="0" topLeftCell="A1">
      <selection activeCell="Q8" sqref="Q8"/>
    </sheetView>
  </sheetViews>
  <sheetFormatPr defaultColWidth="11.421875" defaultRowHeight="12.75"/>
  <cols>
    <col min="1" max="1" width="5.8515625" style="0" customWidth="1"/>
    <col min="2" max="2" width="7.8515625" style="0" customWidth="1"/>
    <col min="3" max="3" width="7.7109375" style="0" customWidth="1"/>
    <col min="4" max="4" width="5.421875" style="0" customWidth="1"/>
    <col min="5" max="5" width="4.28125" style="0" bestFit="1" customWidth="1"/>
    <col min="6" max="6" width="12.7109375" style="0" customWidth="1"/>
    <col min="7" max="7" width="6.57421875" style="0" customWidth="1"/>
    <col min="8" max="8" width="4.7109375" style="0" customWidth="1"/>
    <col min="9" max="9" width="6.57421875" style="0" bestFit="1" customWidth="1"/>
    <col min="10" max="10" width="4.8515625" style="0" customWidth="1"/>
    <col min="11" max="11" width="4.421875" style="0" bestFit="1" customWidth="1"/>
    <col min="12" max="12" width="4.28125" style="0" bestFit="1" customWidth="1"/>
    <col min="13" max="13" width="12.7109375" style="0" customWidth="1"/>
    <col min="14" max="14" width="6.57421875" style="0" bestFit="1" customWidth="1"/>
    <col min="15" max="15" width="4.7109375" style="0" customWidth="1"/>
    <col min="16" max="16" width="6.57421875" style="0" bestFit="1" customWidth="1"/>
    <col min="17" max="17" width="4.8515625" style="0" customWidth="1"/>
    <col min="18" max="18" width="4.421875" style="0" bestFit="1" customWidth="1"/>
    <col min="19" max="21" width="4.7109375" style="0" customWidth="1"/>
  </cols>
  <sheetData>
    <row r="1" spans="1:13" ht="12.75">
      <c r="A1" t="s">
        <v>23</v>
      </c>
      <c r="F1" t="s">
        <v>26</v>
      </c>
      <c r="M1" t="s">
        <v>27</v>
      </c>
    </row>
    <row r="2" spans="1:18" ht="12.75">
      <c r="A2" t="s">
        <v>19</v>
      </c>
      <c r="B2" t="s">
        <v>20</v>
      </c>
      <c r="C2" t="s">
        <v>21</v>
      </c>
      <c r="D2" t="s">
        <v>22</v>
      </c>
      <c r="E2" t="s">
        <v>29</v>
      </c>
      <c r="F2" t="s">
        <v>28</v>
      </c>
      <c r="G2" t="s">
        <v>23</v>
      </c>
      <c r="H2" t="s">
        <v>24</v>
      </c>
      <c r="I2" t="s">
        <v>25</v>
      </c>
      <c r="J2" t="s">
        <v>4</v>
      </c>
      <c r="K2" t="s">
        <v>0</v>
      </c>
      <c r="L2" t="s">
        <v>29</v>
      </c>
      <c r="M2" t="s">
        <v>28</v>
      </c>
      <c r="N2" t="s">
        <v>23</v>
      </c>
      <c r="O2" t="s">
        <v>24</v>
      </c>
      <c r="P2" t="s">
        <v>25</v>
      </c>
      <c r="Q2" t="s">
        <v>4</v>
      </c>
      <c r="R2" t="s">
        <v>0</v>
      </c>
    </row>
    <row r="3" spans="1:18" ht="12.75">
      <c r="A3">
        <v>1</v>
      </c>
      <c r="B3">
        <v>2</v>
      </c>
      <c r="C3">
        <v>3</v>
      </c>
      <c r="D3" s="10">
        <v>1</v>
      </c>
      <c r="E3">
        <f aca="true" t="shared" si="0" ref="E3:E8">B3*10+C3</f>
        <v>23</v>
      </c>
      <c r="F3" t="str">
        <f>VLOOKUP(CONCATENATE($A$1,B3),Eingabe_Allgemein!$A$2:$E$9,4,FALSE)</f>
        <v>Siebes</v>
      </c>
      <c r="G3" s="10">
        <v>35</v>
      </c>
      <c r="H3" s="10">
        <v>37</v>
      </c>
      <c r="I3" s="58">
        <f aca="true" t="shared" si="1" ref="I3:I8">IF(H3=0,0,INT(G3/H3*1000)/1000)</f>
        <v>0.945</v>
      </c>
      <c r="J3" s="10">
        <v>5</v>
      </c>
      <c r="K3">
        <f aca="true" t="shared" si="2" ref="K3:K8">IF(H3&gt;0,IF(G3&gt;N3,2,IF(G3&lt;N3,0,1)),0)</f>
        <v>0</v>
      </c>
      <c r="L3">
        <f aca="true" t="shared" si="3" ref="L3:L8">C3*10+B3</f>
        <v>32</v>
      </c>
      <c r="M3" t="str">
        <f>VLOOKUP(CONCATENATE($A$1,C3),Eingabe_Allgemein!$A$2:$E$9,4,FALSE)</f>
        <v>Mönning</v>
      </c>
      <c r="N3" s="10">
        <v>40</v>
      </c>
      <c r="O3" s="2">
        <f aca="true" t="shared" si="4" ref="O3:O8">IF(ISBLANK(H3),"",H3)</f>
        <v>37</v>
      </c>
      <c r="P3" s="58">
        <f aca="true" t="shared" si="5" ref="P3:P8">IF(H3=0,0,INT(N3/H3*1000)/1000)</f>
        <v>1.081</v>
      </c>
      <c r="Q3" s="10">
        <v>4</v>
      </c>
      <c r="R3">
        <f aca="true" t="shared" si="6" ref="R3:R8">IF(H3&gt;0,IF(G3&gt;N3,0,IF(G3&lt;N3,2,1)),0)</f>
        <v>2</v>
      </c>
    </row>
    <row r="4" spans="1:18" ht="12.75">
      <c r="A4">
        <v>2</v>
      </c>
      <c r="B4">
        <v>1</v>
      </c>
      <c r="C4">
        <v>4</v>
      </c>
      <c r="D4" s="10">
        <v>2</v>
      </c>
      <c r="E4">
        <f t="shared" si="0"/>
        <v>14</v>
      </c>
      <c r="F4" t="str">
        <f>VLOOKUP(CONCATENATE($A$1,B4),Eingabe_Allgemein!$A$2:$E$9,4,FALSE)</f>
        <v>Pauly</v>
      </c>
      <c r="G4" s="10">
        <v>37</v>
      </c>
      <c r="H4" s="10">
        <v>40</v>
      </c>
      <c r="I4" s="58">
        <f t="shared" si="1"/>
        <v>0.925</v>
      </c>
      <c r="J4" s="10">
        <v>4</v>
      </c>
      <c r="K4">
        <f t="shared" si="2"/>
        <v>2</v>
      </c>
      <c r="L4">
        <f t="shared" si="3"/>
        <v>41</v>
      </c>
      <c r="M4" t="str">
        <f>VLOOKUP(CONCATENATE($A$1,C4),Eingabe_Allgemein!$A$2:$E$9,4,FALSE)</f>
        <v>Aust</v>
      </c>
      <c r="N4" s="10">
        <v>30</v>
      </c>
      <c r="O4" s="2">
        <f t="shared" si="4"/>
        <v>40</v>
      </c>
      <c r="P4" s="58">
        <f t="shared" si="5"/>
        <v>0.75</v>
      </c>
      <c r="Q4" s="10">
        <v>4</v>
      </c>
      <c r="R4">
        <f t="shared" si="6"/>
        <v>0</v>
      </c>
    </row>
    <row r="5" spans="1:18" ht="12.75">
      <c r="A5">
        <v>3</v>
      </c>
      <c r="B5">
        <f>IF(R3=2,B3,C3)</f>
        <v>2</v>
      </c>
      <c r="C5">
        <f>IF(R4=2,B4,C4)</f>
        <v>4</v>
      </c>
      <c r="D5" s="10">
        <v>1</v>
      </c>
      <c r="E5">
        <f t="shared" si="0"/>
        <v>24</v>
      </c>
      <c r="F5" t="str">
        <f>VLOOKUP(CONCATENATE($A$1,B5),Eingabe_Allgemein!$A$2:$E$9,4,FALSE)</f>
        <v>Siebes</v>
      </c>
      <c r="G5" s="10">
        <v>33</v>
      </c>
      <c r="H5" s="10">
        <v>40</v>
      </c>
      <c r="I5" s="58">
        <f t="shared" si="1"/>
        <v>0.825</v>
      </c>
      <c r="J5" s="10">
        <v>4</v>
      </c>
      <c r="K5">
        <f t="shared" si="2"/>
        <v>2</v>
      </c>
      <c r="L5">
        <f t="shared" si="3"/>
        <v>42</v>
      </c>
      <c r="M5" t="str">
        <f>VLOOKUP(CONCATENATE($A$1,C5),Eingabe_Allgemein!$A$2:$E$9,4,FALSE)</f>
        <v>Aust</v>
      </c>
      <c r="N5" s="10">
        <v>18</v>
      </c>
      <c r="O5" s="2">
        <f t="shared" si="4"/>
        <v>40</v>
      </c>
      <c r="P5" s="58">
        <f t="shared" si="5"/>
        <v>0.45</v>
      </c>
      <c r="Q5" s="10">
        <v>4</v>
      </c>
      <c r="R5">
        <f t="shared" si="6"/>
        <v>0</v>
      </c>
    </row>
    <row r="6" spans="1:18" ht="12.75">
      <c r="A6">
        <v>4</v>
      </c>
      <c r="B6">
        <f>IF(B5=B3,C3,B3)</f>
        <v>3</v>
      </c>
      <c r="C6">
        <f>IF(C5=C4,B4,C4)</f>
        <v>1</v>
      </c>
      <c r="D6" s="10">
        <v>2</v>
      </c>
      <c r="E6">
        <f t="shared" si="0"/>
        <v>31</v>
      </c>
      <c r="F6" t="str">
        <f>VLOOKUP(CONCATENATE($A$1,B6),Eingabe_Allgemein!$A$2:$E$9,4,FALSE)</f>
        <v>Mönning</v>
      </c>
      <c r="G6" s="10">
        <v>23</v>
      </c>
      <c r="H6" s="10">
        <v>40</v>
      </c>
      <c r="I6" s="58">
        <f t="shared" si="1"/>
        <v>0.575</v>
      </c>
      <c r="J6" s="10">
        <v>3</v>
      </c>
      <c r="K6">
        <f t="shared" si="2"/>
        <v>0</v>
      </c>
      <c r="L6">
        <f t="shared" si="3"/>
        <v>13</v>
      </c>
      <c r="M6" t="str">
        <f>VLOOKUP(CONCATENATE($A$1,C6),Eingabe_Allgemein!$A$2:$E$9,4,FALSE)</f>
        <v>Pauly</v>
      </c>
      <c r="N6" s="10">
        <v>29</v>
      </c>
      <c r="O6" s="2">
        <f t="shared" si="4"/>
        <v>40</v>
      </c>
      <c r="P6" s="58">
        <f t="shared" si="5"/>
        <v>0.725</v>
      </c>
      <c r="Q6" s="10">
        <v>3</v>
      </c>
      <c r="R6">
        <f t="shared" si="6"/>
        <v>2</v>
      </c>
    </row>
    <row r="7" spans="1:18" ht="12.75">
      <c r="A7">
        <v>5</v>
      </c>
      <c r="B7">
        <v>1</v>
      </c>
      <c r="C7">
        <f>9-SUMIF(B3:B6,1,C3:C6)-SUMIF(C3:C6,1,B3:B6)</f>
        <v>2</v>
      </c>
      <c r="D7" s="10">
        <v>1</v>
      </c>
      <c r="E7">
        <f t="shared" si="0"/>
        <v>12</v>
      </c>
      <c r="F7" t="str">
        <f>VLOOKUP(CONCATENATE($A$1,B7),Eingabe_Allgemein!$A$2:$E$9,4,FALSE)</f>
        <v>Pauly</v>
      </c>
      <c r="G7" s="10">
        <v>24</v>
      </c>
      <c r="H7" s="10">
        <v>37</v>
      </c>
      <c r="I7" s="58">
        <f t="shared" si="1"/>
        <v>0.648</v>
      </c>
      <c r="J7" s="10">
        <v>4</v>
      </c>
      <c r="K7">
        <f t="shared" si="2"/>
        <v>0</v>
      </c>
      <c r="L7">
        <f t="shared" si="3"/>
        <v>21</v>
      </c>
      <c r="M7" t="str">
        <f>VLOOKUP(CONCATENATE($A$1,C7),Eingabe_Allgemein!$A$2:$E$9,4,FALSE)</f>
        <v>Siebes</v>
      </c>
      <c r="N7" s="10">
        <v>40</v>
      </c>
      <c r="O7" s="2">
        <f t="shared" si="4"/>
        <v>37</v>
      </c>
      <c r="P7" s="58">
        <f t="shared" si="5"/>
        <v>1.081</v>
      </c>
      <c r="Q7" s="10">
        <v>5</v>
      </c>
      <c r="R7">
        <f t="shared" si="6"/>
        <v>2</v>
      </c>
    </row>
    <row r="8" spans="1:18" ht="12.75">
      <c r="A8">
        <v>6</v>
      </c>
      <c r="B8">
        <f>5-C7</f>
        <v>3</v>
      </c>
      <c r="C8">
        <f>10-B7-C7-B8</f>
        <v>4</v>
      </c>
      <c r="D8" s="10">
        <v>2</v>
      </c>
      <c r="E8">
        <f t="shared" si="0"/>
        <v>34</v>
      </c>
      <c r="F8" t="str">
        <f>VLOOKUP(CONCATENATE($A$1,B8),Eingabe_Allgemein!$A$2:$E$9,4,FALSE)</f>
        <v>Mönning</v>
      </c>
      <c r="G8" s="10">
        <v>28</v>
      </c>
      <c r="H8" s="10">
        <v>40</v>
      </c>
      <c r="I8" s="58">
        <f t="shared" si="1"/>
        <v>0.7</v>
      </c>
      <c r="J8" s="10">
        <v>6</v>
      </c>
      <c r="K8">
        <f t="shared" si="2"/>
        <v>2</v>
      </c>
      <c r="L8">
        <f t="shared" si="3"/>
        <v>43</v>
      </c>
      <c r="M8" t="str">
        <f>VLOOKUP(CONCATENATE($A$1,C8),Eingabe_Allgemein!$A$2:$E$9,4,FALSE)</f>
        <v>Aust</v>
      </c>
      <c r="N8" s="10">
        <v>27</v>
      </c>
      <c r="O8" s="2">
        <f t="shared" si="4"/>
        <v>40</v>
      </c>
      <c r="P8" s="58">
        <f t="shared" si="5"/>
        <v>0.675</v>
      </c>
      <c r="Q8" s="10">
        <v>7</v>
      </c>
      <c r="R8">
        <f t="shared" si="6"/>
        <v>0</v>
      </c>
    </row>
    <row r="10" spans="1:14" ht="12.75">
      <c r="A10" t="s">
        <v>31</v>
      </c>
      <c r="B10" s="129" t="s">
        <v>28</v>
      </c>
      <c r="C10" s="129"/>
      <c r="D10" t="s">
        <v>23</v>
      </c>
      <c r="E10" t="s">
        <v>24</v>
      </c>
      <c r="F10" t="s">
        <v>25</v>
      </c>
      <c r="G10" t="s">
        <v>4</v>
      </c>
      <c r="H10" t="s">
        <v>0</v>
      </c>
      <c r="I10" t="s">
        <v>3</v>
      </c>
      <c r="J10" t="s">
        <v>32</v>
      </c>
      <c r="K10" t="s">
        <v>34</v>
      </c>
      <c r="L10" t="s">
        <v>31</v>
      </c>
      <c r="M10" t="s">
        <v>33</v>
      </c>
      <c r="N10" t="s">
        <v>36</v>
      </c>
    </row>
    <row r="11" spans="1:14" ht="12.75">
      <c r="A11">
        <v>1</v>
      </c>
      <c r="B11" s="3" t="str">
        <f>VLOOKUP(CONCATENATE($A$1,A11),Eingabe_Allgemein!$A$2:$E$9,4,FALSE)</f>
        <v>Pauly</v>
      </c>
      <c r="C11" s="3"/>
      <c r="D11">
        <f>SUM(D17:D19)</f>
        <v>90</v>
      </c>
      <c r="E11">
        <f>SUM(E17:E19)</f>
        <v>117</v>
      </c>
      <c r="F11" s="58">
        <f>IF(E11&gt;0,D11/E11,0)</f>
        <v>0.7692307692307693</v>
      </c>
      <c r="G11">
        <f>MAX(G17:G19)</f>
        <v>4</v>
      </c>
      <c r="H11">
        <f>SUM(H17:H19)</f>
        <v>4</v>
      </c>
      <c r="I11" s="58">
        <f>I19</f>
        <v>0.925</v>
      </c>
      <c r="J11" s="10">
        <v>1</v>
      </c>
      <c r="K11" s="4">
        <f>(8-H11)*10+J11/100000000-F11/1000</f>
        <v>39.99923077923077</v>
      </c>
      <c r="L11">
        <v>1</v>
      </c>
      <c r="M11">
        <f>VLOOKUP(L11,B$49:C$52,2,FALSE)</f>
        <v>3</v>
      </c>
      <c r="N11" s="58">
        <f>INT(F11*1000)/1000</f>
        <v>0.769</v>
      </c>
    </row>
    <row r="12" spans="1:14" ht="12.75">
      <c r="A12">
        <v>2</v>
      </c>
      <c r="B12" s="3" t="str">
        <f>VLOOKUP(CONCATENATE($A$1,A12),Eingabe_Allgemein!$A$2:$E$9,4,FALSE)</f>
        <v>Siebes</v>
      </c>
      <c r="C12" s="3"/>
      <c r="D12">
        <f>SUM(D25:D27)</f>
        <v>108</v>
      </c>
      <c r="E12">
        <f>SUM(E25:E27)</f>
        <v>114</v>
      </c>
      <c r="F12" s="58">
        <f>IF(E12&gt;0,D12/E12,0)</f>
        <v>0.9473684210526315</v>
      </c>
      <c r="G12">
        <f>MAX(G25:G27)</f>
        <v>5</v>
      </c>
      <c r="H12">
        <f>SUM(H25:H27)</f>
        <v>4</v>
      </c>
      <c r="I12" s="58">
        <f>I27</f>
        <v>1.081</v>
      </c>
      <c r="J12" s="10">
        <v>2</v>
      </c>
      <c r="K12" s="4">
        <f>(8-H12)*10+J12/100000000-F12/1000</f>
        <v>39.99905265157895</v>
      </c>
      <c r="L12">
        <v>2</v>
      </c>
      <c r="M12">
        <f>VLOOKUP(L12,B$49:C$52,2,FALSE)</f>
        <v>1</v>
      </c>
      <c r="N12" s="58">
        <f>INT(F12*1000)/1000</f>
        <v>0.947</v>
      </c>
    </row>
    <row r="13" spans="1:14" ht="12.75">
      <c r="A13">
        <v>3</v>
      </c>
      <c r="B13" s="3" t="str">
        <f>VLOOKUP(CONCATENATE($A$1,A13),Eingabe_Allgemein!$A$2:$E$9,4,FALSE)</f>
        <v>Mönning</v>
      </c>
      <c r="C13" s="3"/>
      <c r="D13">
        <f>SUM(D33:D35)</f>
        <v>91</v>
      </c>
      <c r="E13">
        <f>SUM(E33:E35)</f>
        <v>117</v>
      </c>
      <c r="F13" s="58">
        <f>IF(E13&gt;0,D13/E13,0)</f>
        <v>0.7777777777777778</v>
      </c>
      <c r="G13">
        <f>MAX(G33:G35)</f>
        <v>6</v>
      </c>
      <c r="H13">
        <f>SUM(H33:H35)</f>
        <v>4</v>
      </c>
      <c r="I13" s="58">
        <f>I35</f>
        <v>1.081</v>
      </c>
      <c r="J13" s="10">
        <v>3</v>
      </c>
      <c r="K13" s="4">
        <f>(8-H13)*10+J13/100000000-F13/1000</f>
        <v>39.999222252222225</v>
      </c>
      <c r="L13">
        <v>3</v>
      </c>
      <c r="M13">
        <f>VLOOKUP(L13,B$49:C$52,2,FALSE)</f>
        <v>2</v>
      </c>
      <c r="N13" s="58">
        <f>INT(F13*1000)/1000</f>
        <v>0.777</v>
      </c>
    </row>
    <row r="14" spans="1:14" ht="12.75">
      <c r="A14">
        <v>4</v>
      </c>
      <c r="B14" s="3" t="str">
        <f>VLOOKUP(CONCATENATE($A$1,A14),Eingabe_Allgemein!$A$2:$E$9,4,FALSE)</f>
        <v>Aust</v>
      </c>
      <c r="C14" s="3"/>
      <c r="D14">
        <f>SUM(D41:D43)</f>
        <v>75</v>
      </c>
      <c r="E14">
        <f>SUM(E41:E43)</f>
        <v>120</v>
      </c>
      <c r="F14" s="58">
        <f>IF(E14&gt;0,D14/E14,0)</f>
        <v>0.625</v>
      </c>
      <c r="G14">
        <f>MAX(G41:G43)</f>
        <v>7</v>
      </c>
      <c r="H14">
        <f>SUM(H41:H43)</f>
        <v>0</v>
      </c>
      <c r="I14" s="58">
        <f>I43</f>
        <v>0</v>
      </c>
      <c r="J14" s="10">
        <v>4</v>
      </c>
      <c r="K14" s="4">
        <f>(8-H14)*10+J14/100000000-F14/1000</f>
        <v>79.99937504</v>
      </c>
      <c r="L14">
        <v>4</v>
      </c>
      <c r="M14">
        <f>VLOOKUP(L14,B$49:C$52,2,FALSE)</f>
        <v>4</v>
      </c>
      <c r="N14" s="58">
        <f>INT(F14*1000)/1000</f>
        <v>0.625</v>
      </c>
    </row>
    <row r="16" spans="1:14" ht="12.75">
      <c r="A16" s="129" t="str">
        <f>VLOOKUP(CONCATENATE($A$1,A17),Eingabe_Allgemein!$A$2:$E$9,4,FALSE)</f>
        <v>Pauly</v>
      </c>
      <c r="B16" s="129"/>
      <c r="C16" t="s">
        <v>29</v>
      </c>
      <c r="D16" t="s">
        <v>23</v>
      </c>
      <c r="E16" t="s">
        <v>24</v>
      </c>
      <c r="F16" t="s">
        <v>25</v>
      </c>
      <c r="G16" t="s">
        <v>4</v>
      </c>
      <c r="H16" t="s">
        <v>0</v>
      </c>
      <c r="I16" t="s">
        <v>3</v>
      </c>
      <c r="J16" t="s">
        <v>77</v>
      </c>
      <c r="M16" t="s">
        <v>50</v>
      </c>
      <c r="N16">
        <f>GruppeA!N16</f>
        <v>1</v>
      </c>
    </row>
    <row r="17" spans="1:13" ht="12.75">
      <c r="A17">
        <v>1</v>
      </c>
      <c r="B17">
        <v>2</v>
      </c>
      <c r="C17">
        <f>A17*10+B17</f>
        <v>12</v>
      </c>
      <c r="D17">
        <f aca="true" t="shared" si="7" ref="D17:H19">SUMIF($E$3:$E$8,$C17,G$3:G$8)+SUMIF($L$3:$L$8,$C17,N$3:N$8)</f>
        <v>24</v>
      </c>
      <c r="E17">
        <f>SUMIF($E$3:$E$8,$C17,H$3:H$8)+SUMIF($L$3:$L$8,$C17,O$3:O$8)</f>
        <v>37</v>
      </c>
      <c r="F17" s="58">
        <f>SUMIF($E$3:$E$8,$C17,I$3:I$8)+SUMIF($L$3:$L$8,$C17,P$3:P$8)</f>
        <v>0.648</v>
      </c>
      <c r="G17">
        <f t="shared" si="7"/>
        <v>4</v>
      </c>
      <c r="H17">
        <f t="shared" si="7"/>
        <v>0</v>
      </c>
      <c r="I17" s="58">
        <f>IF(H17&gt;=$N$16,F17,0)</f>
        <v>0</v>
      </c>
      <c r="J17">
        <f>IF(E17&gt;0,2-H17,0)</f>
        <v>2</v>
      </c>
      <c r="M17" t="s">
        <v>51</v>
      </c>
    </row>
    <row r="18" spans="1:10" ht="12.75">
      <c r="A18">
        <v>1</v>
      </c>
      <c r="B18">
        <v>3</v>
      </c>
      <c r="C18">
        <f>A18*10+B18</f>
        <v>13</v>
      </c>
      <c r="D18">
        <f t="shared" si="7"/>
        <v>29</v>
      </c>
      <c r="E18">
        <f t="shared" si="7"/>
        <v>40</v>
      </c>
      <c r="F18" s="58">
        <f t="shared" si="7"/>
        <v>0.725</v>
      </c>
      <c r="G18">
        <f t="shared" si="7"/>
        <v>3</v>
      </c>
      <c r="H18">
        <f t="shared" si="7"/>
        <v>2</v>
      </c>
      <c r="I18" s="58">
        <f>IF(H18&gt;=$N$16,IF(F18&gt;I17,F18,I17),I17)</f>
        <v>0.725</v>
      </c>
      <c r="J18">
        <f>IF(E18&gt;0,2-H18,0)</f>
        <v>0</v>
      </c>
    </row>
    <row r="19" spans="1:10" ht="12.75">
      <c r="A19">
        <v>1</v>
      </c>
      <c r="B19">
        <v>4</v>
      </c>
      <c r="C19">
        <f>A19*10+B19</f>
        <v>14</v>
      </c>
      <c r="D19">
        <f t="shared" si="7"/>
        <v>37</v>
      </c>
      <c r="E19">
        <f t="shared" si="7"/>
        <v>40</v>
      </c>
      <c r="F19" s="58">
        <f t="shared" si="7"/>
        <v>0.925</v>
      </c>
      <c r="G19">
        <f t="shared" si="7"/>
        <v>4</v>
      </c>
      <c r="H19">
        <f t="shared" si="7"/>
        <v>2</v>
      </c>
      <c r="I19" s="58">
        <f>IF(H19&gt;=$N$16,IF(F19&gt;I18,F19,I18),I18)</f>
        <v>0.925</v>
      </c>
      <c r="J19">
        <f>IF(E19&gt;0,2-H19,0)</f>
        <v>0</v>
      </c>
    </row>
    <row r="20" spans="1:10" ht="12.75">
      <c r="A20" t="str">
        <f>CONCATENATE($A$1,A17)</f>
        <v>B1</v>
      </c>
      <c r="C20" t="s">
        <v>59</v>
      </c>
      <c r="D20">
        <f>SUMIF(Blatt_1_und_2!$N$30:$N$45,$A20,Blatt_1_und_2!$H$30:$H$45)</f>
        <v>38</v>
      </c>
      <c r="E20">
        <f>SUMIF(Blatt_1_und_2!$N$30:$N$45,$A20,Blatt_1_und_2!$I$30:$I$45)</f>
        <v>40</v>
      </c>
      <c r="F20" s="58">
        <f>SUMIF(Blatt_1_und_2!$N$30:$N$45,$A20,Blatt_1_und_2!$K$30:$K$45)</f>
        <v>0.95</v>
      </c>
      <c r="G20">
        <f>SUMIF(Blatt_1_und_2!$N$30:$N$45,$A20,Blatt_1_und_2!$M$30:$M$45)</f>
        <v>3</v>
      </c>
      <c r="H20">
        <f>SUMIF(Blatt_1_und_2!$N$30:$N$45,$A20,Blatt_1_und_2!$G$30:$G$45)</f>
        <v>2</v>
      </c>
      <c r="I20" s="58">
        <f>IF(H20&gt;=$N$16,IF(F20&gt;I19,F20,I19),I19)</f>
        <v>0.95</v>
      </c>
      <c r="J20">
        <f>IF(E20&gt;0,2-H20,0)</f>
        <v>0</v>
      </c>
    </row>
    <row r="21" spans="1:10" ht="12.75">
      <c r="A21" t="str">
        <f>A20</f>
        <v>B1</v>
      </c>
      <c r="C21" s="5" t="s">
        <v>60</v>
      </c>
      <c r="D21">
        <f>SUMIF(Blatt_1_und_2!$N$49:$N$55,$A21,Blatt_1_und_2!$H$49:$H$55)</f>
        <v>0</v>
      </c>
      <c r="E21">
        <f>SUMIF(Blatt_1_und_2!$N$49:$N$55,$A21,Blatt_1_und_2!$I$49:$I$55)</f>
        <v>0</v>
      </c>
      <c r="F21" s="58">
        <f>SUMIF(Blatt_1_und_2!$N$49:$N$55,$A21,Blatt_1_und_2!$K$49:$K$55)</f>
        <v>0</v>
      </c>
      <c r="G21">
        <f>SUMIF(Blatt_1_und_2!$N$49:$N$55,$A21,Blatt_1_und_2!$M$49:$M$55)</f>
        <v>0</v>
      </c>
      <c r="H21">
        <f>SUMIF(Blatt_1_und_2!$N$49:$N$55,$A21,Blatt_1_und_2!$G$49:$G$55)</f>
        <v>0</v>
      </c>
      <c r="I21" s="58">
        <f>IF(H21&gt;=$N$16,IF(F21&gt;I20,F21,I20),I20)</f>
        <v>0.95</v>
      </c>
      <c r="J21">
        <f>IF(E21&gt;0,2-H21,0)</f>
        <v>0</v>
      </c>
    </row>
    <row r="22" spans="3:10" ht="12.75">
      <c r="C22" t="s">
        <v>61</v>
      </c>
      <c r="D22">
        <f>SUM(D17:D21)</f>
        <v>128</v>
      </c>
      <c r="E22">
        <f>SUM(E17:E21)</f>
        <v>157</v>
      </c>
      <c r="F22" s="58">
        <f>IF(E22&gt;0,D22/E22,0)</f>
        <v>0.8152866242038217</v>
      </c>
      <c r="G22">
        <f>MAX(G17:G21)</f>
        <v>4</v>
      </c>
      <c r="H22">
        <f>SUM(H17:H21)</f>
        <v>6</v>
      </c>
      <c r="I22" s="58">
        <f>I21</f>
        <v>0.95</v>
      </c>
      <c r="J22">
        <f>SUM(J17:J21)</f>
        <v>2</v>
      </c>
    </row>
    <row r="24" spans="1:10" ht="12.75">
      <c r="A24" s="129" t="str">
        <f>VLOOKUP(CONCATENATE($A$1,A25),Eingabe_Allgemein!$A$2:$E$9,4,FALSE)</f>
        <v>Siebes</v>
      </c>
      <c r="B24" s="129"/>
      <c r="C24" t="s">
        <v>29</v>
      </c>
      <c r="D24" t="s">
        <v>23</v>
      </c>
      <c r="E24" t="s">
        <v>24</v>
      </c>
      <c r="F24" t="s">
        <v>25</v>
      </c>
      <c r="G24" t="s">
        <v>4</v>
      </c>
      <c r="H24" t="s">
        <v>0</v>
      </c>
      <c r="I24" t="s">
        <v>3</v>
      </c>
      <c r="J24" t="s">
        <v>77</v>
      </c>
    </row>
    <row r="25" spans="1:10" ht="12.75">
      <c r="A25">
        <v>2</v>
      </c>
      <c r="B25">
        <v>1</v>
      </c>
      <c r="C25">
        <f>A25*10+B25</f>
        <v>21</v>
      </c>
      <c r="D25">
        <f aca="true" t="shared" si="8" ref="D25:H27">SUMIF($E$3:$E$8,$C25,G$3:G$8)+SUMIF($L$3:$L$8,$C25,N$3:N$8)</f>
        <v>40</v>
      </c>
      <c r="E25">
        <f t="shared" si="8"/>
        <v>37</v>
      </c>
      <c r="F25" s="58">
        <f t="shared" si="8"/>
        <v>1.081</v>
      </c>
      <c r="G25">
        <f t="shared" si="8"/>
        <v>5</v>
      </c>
      <c r="H25">
        <f t="shared" si="8"/>
        <v>2</v>
      </c>
      <c r="I25" s="58">
        <f>IF(H25&gt;=$N$16,F25,0)</f>
        <v>1.081</v>
      </c>
      <c r="J25">
        <f>IF(E25&gt;0,2-H25,0)</f>
        <v>0</v>
      </c>
    </row>
    <row r="26" spans="1:10" ht="12.75">
      <c r="A26">
        <v>2</v>
      </c>
      <c r="B26">
        <v>3</v>
      </c>
      <c r="C26">
        <f>A26*10+B26</f>
        <v>23</v>
      </c>
      <c r="D26">
        <f t="shared" si="8"/>
        <v>35</v>
      </c>
      <c r="E26">
        <f t="shared" si="8"/>
        <v>37</v>
      </c>
      <c r="F26" s="58">
        <f t="shared" si="8"/>
        <v>0.945</v>
      </c>
      <c r="G26">
        <f t="shared" si="8"/>
        <v>5</v>
      </c>
      <c r="H26">
        <f t="shared" si="8"/>
        <v>0</v>
      </c>
      <c r="I26" s="58">
        <f>IF(H26&gt;=$N$16,IF(F26&gt;I25,F26,I25),I25)</f>
        <v>1.081</v>
      </c>
      <c r="J26">
        <f>IF(E26&gt;0,2-H26,0)</f>
        <v>2</v>
      </c>
    </row>
    <row r="27" spans="1:10" ht="12.75">
      <c r="A27">
        <v>2</v>
      </c>
      <c r="B27">
        <v>4</v>
      </c>
      <c r="C27">
        <f>A27*10+B27</f>
        <v>24</v>
      </c>
      <c r="D27">
        <f t="shared" si="8"/>
        <v>33</v>
      </c>
      <c r="E27">
        <f t="shared" si="8"/>
        <v>40</v>
      </c>
      <c r="F27" s="58">
        <f t="shared" si="8"/>
        <v>0.825</v>
      </c>
      <c r="G27">
        <f t="shared" si="8"/>
        <v>4</v>
      </c>
      <c r="H27">
        <f t="shared" si="8"/>
        <v>2</v>
      </c>
      <c r="I27" s="58">
        <f>IF(H27&gt;=$N$16,IF(F27&gt;I26,F27,I26),I26)</f>
        <v>1.081</v>
      </c>
      <c r="J27">
        <f>IF(E27&gt;0,2-H27,0)</f>
        <v>0</v>
      </c>
    </row>
    <row r="28" spans="1:10" ht="12.75">
      <c r="A28" t="str">
        <f>CONCATENATE($A$1,A25)</f>
        <v>B2</v>
      </c>
      <c r="C28" t="s">
        <v>59</v>
      </c>
      <c r="D28">
        <f>SUMIF(Blatt_1_und_2!$N$30:$N$45,$A28,Blatt_1_und_2!$H$30:$H$45)</f>
        <v>14</v>
      </c>
      <c r="E28">
        <f>SUMIF(Blatt_1_und_2!$N$30:$N$45,$A28,Blatt_1_und_2!$I$30:$I$45)</f>
        <v>34</v>
      </c>
      <c r="F28" s="58">
        <f>SUMIF(Blatt_1_und_2!$N$30:$N$45,$A28,Blatt_1_und_2!$K$30:$K$45)</f>
        <v>0.411</v>
      </c>
      <c r="G28">
        <f>SUMIF(Blatt_1_und_2!$N$30:$N$45,$A28,Blatt_1_und_2!$M$30:$M$45)</f>
        <v>2</v>
      </c>
      <c r="H28">
        <f>SUMIF(Blatt_1_und_2!$N$30:$N$45,$A28,Blatt_1_und_2!$G$30:$G$45)</f>
        <v>0</v>
      </c>
      <c r="I28" s="58">
        <f>IF(H28&gt;=$N$16,IF(F28&gt;I27,F28,I27),I27)</f>
        <v>1.081</v>
      </c>
      <c r="J28">
        <f>IF(E28&gt;0,2-H28,0)</f>
        <v>2</v>
      </c>
    </row>
    <row r="29" spans="1:10" ht="12.75">
      <c r="A29" t="str">
        <f>A28</f>
        <v>B2</v>
      </c>
      <c r="C29" s="5" t="s">
        <v>60</v>
      </c>
      <c r="D29">
        <f>SUMIF(Blatt_1_und_2!$N$49:$N$55,$A29,Blatt_1_und_2!$H$49:$H$55)</f>
        <v>0</v>
      </c>
      <c r="E29">
        <f>SUMIF(Blatt_1_und_2!$N$49:$N$55,$A29,Blatt_1_und_2!$I$49:$I$55)</f>
        <v>0</v>
      </c>
      <c r="F29" s="58">
        <f>SUMIF(Blatt_1_und_2!$N$49:$N$55,$A29,Blatt_1_und_2!$K$49:$K$55)</f>
        <v>0</v>
      </c>
      <c r="G29">
        <f>SUMIF(Blatt_1_und_2!$N$49:$N$55,$A29,Blatt_1_und_2!$M$49:$M$55)</f>
        <v>0</v>
      </c>
      <c r="H29">
        <f>SUMIF(Blatt_1_und_2!$N$49:$N$55,$A29,Blatt_1_und_2!$G$49:$G$55)</f>
        <v>0</v>
      </c>
      <c r="I29" s="58">
        <f>IF(H29&gt;=$N$16,IF(F29&gt;I28,F29,I28),I28)</f>
        <v>1.081</v>
      </c>
      <c r="J29">
        <f>IF(E29&gt;0,2-H29,0)</f>
        <v>0</v>
      </c>
    </row>
    <row r="30" spans="3:10" ht="12.75">
      <c r="C30" t="s">
        <v>61</v>
      </c>
      <c r="D30">
        <f>SUM(D25:D29)</f>
        <v>122</v>
      </c>
      <c r="E30">
        <f>SUM(E25:E29)</f>
        <v>148</v>
      </c>
      <c r="F30" s="58">
        <f>IF(E30&gt;0,D30/E30,0)</f>
        <v>0.8243243243243243</v>
      </c>
      <c r="G30">
        <f>MAX(G25:G29)</f>
        <v>5</v>
      </c>
      <c r="H30">
        <f>SUM(H25:H29)</f>
        <v>4</v>
      </c>
      <c r="I30" s="58">
        <f>I29</f>
        <v>1.081</v>
      </c>
      <c r="J30">
        <f>SUM(J25:J29)</f>
        <v>4</v>
      </c>
    </row>
    <row r="32" spans="1:10" ht="12.75">
      <c r="A32" s="129" t="str">
        <f>VLOOKUP(CONCATENATE($A$1,A33),Eingabe_Allgemein!$A$2:$E$9,4,FALSE)</f>
        <v>Mönning</v>
      </c>
      <c r="B32" s="129"/>
      <c r="C32" t="s">
        <v>29</v>
      </c>
      <c r="D32" t="s">
        <v>23</v>
      </c>
      <c r="E32" t="s">
        <v>24</v>
      </c>
      <c r="F32" t="s">
        <v>25</v>
      </c>
      <c r="G32" t="s">
        <v>4</v>
      </c>
      <c r="H32" t="s">
        <v>0</v>
      </c>
      <c r="I32" t="s">
        <v>3</v>
      </c>
      <c r="J32" t="s">
        <v>77</v>
      </c>
    </row>
    <row r="33" spans="1:10" ht="12.75">
      <c r="A33">
        <v>3</v>
      </c>
      <c r="B33">
        <v>1</v>
      </c>
      <c r="C33">
        <f>A33*10+B33</f>
        <v>31</v>
      </c>
      <c r="D33">
        <f aca="true" t="shared" si="9" ref="D33:H35">SUMIF($E$3:$E$8,$C33,G$3:G$8)+SUMIF($L$3:$L$8,$C33,N$3:N$8)</f>
        <v>23</v>
      </c>
      <c r="E33">
        <f t="shared" si="9"/>
        <v>40</v>
      </c>
      <c r="F33" s="58">
        <f t="shared" si="9"/>
        <v>0.575</v>
      </c>
      <c r="G33">
        <f t="shared" si="9"/>
        <v>3</v>
      </c>
      <c r="H33">
        <f t="shared" si="9"/>
        <v>0</v>
      </c>
      <c r="I33" s="58">
        <f>IF(H33&gt;=$N$16,F33,0)</f>
        <v>0</v>
      </c>
      <c r="J33">
        <f>IF(E33&gt;0,2-H33,0)</f>
        <v>2</v>
      </c>
    </row>
    <row r="34" spans="1:10" ht="12.75">
      <c r="A34">
        <v>3</v>
      </c>
      <c r="B34">
        <v>2</v>
      </c>
      <c r="C34">
        <f>A34*10+B34</f>
        <v>32</v>
      </c>
      <c r="D34">
        <f t="shared" si="9"/>
        <v>40</v>
      </c>
      <c r="E34">
        <f t="shared" si="9"/>
        <v>37</v>
      </c>
      <c r="F34" s="58">
        <f t="shared" si="9"/>
        <v>1.081</v>
      </c>
      <c r="G34">
        <f t="shared" si="9"/>
        <v>4</v>
      </c>
      <c r="H34">
        <f t="shared" si="9"/>
        <v>2</v>
      </c>
      <c r="I34" s="58">
        <f>IF(H34&gt;=$N$16,IF(F34&gt;I33,F34,I33),I33)</f>
        <v>1.081</v>
      </c>
      <c r="J34">
        <f>IF(E34&gt;0,2-H34,0)</f>
        <v>0</v>
      </c>
    </row>
    <row r="35" spans="1:10" ht="12.75">
      <c r="A35">
        <v>3</v>
      </c>
      <c r="B35">
        <v>4</v>
      </c>
      <c r="C35">
        <f>A35*10+B35</f>
        <v>34</v>
      </c>
      <c r="D35">
        <f t="shared" si="9"/>
        <v>28</v>
      </c>
      <c r="E35">
        <f t="shared" si="9"/>
        <v>40</v>
      </c>
      <c r="F35" s="58">
        <f t="shared" si="9"/>
        <v>0.7</v>
      </c>
      <c r="G35">
        <f t="shared" si="9"/>
        <v>6</v>
      </c>
      <c r="H35">
        <f t="shared" si="9"/>
        <v>2</v>
      </c>
      <c r="I35" s="58">
        <f>IF(H35&gt;=$N$16,IF(F35&gt;I34,F35,I34),I34)</f>
        <v>1.081</v>
      </c>
      <c r="J35">
        <f>IF(E35&gt;0,2-H35,0)</f>
        <v>0</v>
      </c>
    </row>
    <row r="36" spans="1:10" ht="12.75">
      <c r="A36" t="str">
        <f>CONCATENATE($A$1,A33)</f>
        <v>B3</v>
      </c>
      <c r="C36" t="s">
        <v>59</v>
      </c>
      <c r="D36">
        <f>SUMIF(Blatt_1_und_2!$N$30:$N$45,$A36,Blatt_1_und_2!$H$30:$H$45)</f>
        <v>36</v>
      </c>
      <c r="E36">
        <f>SUMIF(Blatt_1_und_2!$N$30:$N$45,$A36,Blatt_1_und_2!$I$30:$I$45)</f>
        <v>61</v>
      </c>
      <c r="F36" s="58">
        <f>SUMIF(Blatt_1_und_2!$N$30:$N$45,$A36,Blatt_1_und_2!$K$30:$K$45)</f>
        <v>0.59</v>
      </c>
      <c r="G36">
        <f>SUMIF(Blatt_1_und_2!$N$30:$N$45,$A36,Blatt_1_und_2!$M$30:$M$45)</f>
        <v>7</v>
      </c>
      <c r="H36">
        <f>SUMIF(Blatt_1_und_2!$N$30:$N$45,$A36,Blatt_1_und_2!$G$30:$G$45)</f>
        <v>0</v>
      </c>
      <c r="I36" s="58">
        <f>IF(H36&gt;=$N$16,IF(F36&gt;I35,F36,I35),I35)</f>
        <v>1.081</v>
      </c>
      <c r="J36">
        <f>IF(E36&gt;0,2-H36,0)</f>
        <v>2</v>
      </c>
    </row>
    <row r="37" spans="1:10" ht="12.75">
      <c r="A37" t="str">
        <f>A36</f>
        <v>B3</v>
      </c>
      <c r="C37" s="5" t="s">
        <v>60</v>
      </c>
      <c r="D37">
        <f>SUMIF(Blatt_1_und_2!$N$49:$N$55,$A37,Blatt_1_und_2!$H$49:$H$55)</f>
        <v>0</v>
      </c>
      <c r="E37">
        <f>SUMIF(Blatt_1_und_2!$N$49:$N$55,$A37,Blatt_1_und_2!$I$49:$I$55)</f>
        <v>0</v>
      </c>
      <c r="F37" s="58">
        <f>SUMIF(Blatt_1_und_2!$N$49:$N$55,$A37,Blatt_1_und_2!$K$49:$K$55)</f>
        <v>0</v>
      </c>
      <c r="G37">
        <f>SUMIF(Blatt_1_und_2!$N$49:$N$55,$A37,Blatt_1_und_2!$M$49:$M$55)</f>
        <v>0</v>
      </c>
      <c r="H37">
        <f>SUMIF(Blatt_1_und_2!$N$49:$N$55,$A37,Blatt_1_und_2!$G$49:$G$55)</f>
        <v>0</v>
      </c>
      <c r="I37" s="58">
        <f>IF(H37&gt;=$N$16,IF(F37&gt;I36,F37,I36),I36)</f>
        <v>1.081</v>
      </c>
      <c r="J37">
        <f>IF(E37&gt;0,2-H37,0)</f>
        <v>0</v>
      </c>
    </row>
    <row r="38" spans="3:10" ht="12.75">
      <c r="C38" t="s">
        <v>61</v>
      </c>
      <c r="D38">
        <f>SUM(D33:D37)</f>
        <v>127</v>
      </c>
      <c r="E38">
        <f>SUM(E33:E37)</f>
        <v>178</v>
      </c>
      <c r="F38" s="58">
        <f>IF(E38&gt;0,D38/E38,0)</f>
        <v>0.7134831460674157</v>
      </c>
      <c r="G38">
        <f>MAX(G33:G37)</f>
        <v>7</v>
      </c>
      <c r="H38">
        <f>SUM(H33:H37)</f>
        <v>4</v>
      </c>
      <c r="I38" s="58">
        <f>I37</f>
        <v>1.081</v>
      </c>
      <c r="J38">
        <f>SUM(J33:J37)</f>
        <v>4</v>
      </c>
    </row>
    <row r="40" spans="1:10" ht="12.75">
      <c r="A40" s="129" t="str">
        <f>VLOOKUP(CONCATENATE($A$1,A41),Eingabe_Allgemein!$A$2:$E$9,4,FALSE)</f>
        <v>Aust</v>
      </c>
      <c r="B40" s="129"/>
      <c r="C40" t="s">
        <v>29</v>
      </c>
      <c r="D40" t="s">
        <v>23</v>
      </c>
      <c r="E40" t="s">
        <v>24</v>
      </c>
      <c r="F40" t="s">
        <v>25</v>
      </c>
      <c r="G40" t="s">
        <v>4</v>
      </c>
      <c r="H40" t="s">
        <v>0</v>
      </c>
      <c r="I40" t="s">
        <v>3</v>
      </c>
      <c r="J40" t="s">
        <v>77</v>
      </c>
    </row>
    <row r="41" spans="1:10" ht="12.75">
      <c r="A41">
        <v>4</v>
      </c>
      <c r="B41">
        <v>1</v>
      </c>
      <c r="C41">
        <f>A41*10+B41</f>
        <v>41</v>
      </c>
      <c r="D41">
        <f aca="true" t="shared" si="10" ref="D41:H43">SUMIF($E$3:$E$8,$C41,G$3:G$8)+SUMIF($L$3:$L$8,$C41,N$3:N$8)</f>
        <v>30</v>
      </c>
      <c r="E41">
        <f t="shared" si="10"/>
        <v>40</v>
      </c>
      <c r="F41" s="58">
        <f t="shared" si="10"/>
        <v>0.75</v>
      </c>
      <c r="G41">
        <f t="shared" si="10"/>
        <v>4</v>
      </c>
      <c r="H41">
        <f t="shared" si="10"/>
        <v>0</v>
      </c>
      <c r="I41" s="58">
        <f>IF(H41&gt;=$N$16,F41,0)</f>
        <v>0</v>
      </c>
      <c r="J41">
        <f>IF(E41&gt;0,2-H41,0)</f>
        <v>2</v>
      </c>
    </row>
    <row r="42" spans="1:10" ht="12.75">
      <c r="A42">
        <v>4</v>
      </c>
      <c r="B42">
        <v>2</v>
      </c>
      <c r="C42">
        <f>A42*10+B42</f>
        <v>42</v>
      </c>
      <c r="D42">
        <f t="shared" si="10"/>
        <v>18</v>
      </c>
      <c r="E42">
        <f t="shared" si="10"/>
        <v>40</v>
      </c>
      <c r="F42" s="58">
        <f t="shared" si="10"/>
        <v>0.45</v>
      </c>
      <c r="G42">
        <f t="shared" si="10"/>
        <v>4</v>
      </c>
      <c r="H42">
        <f t="shared" si="10"/>
        <v>0</v>
      </c>
      <c r="I42" s="58">
        <f>IF(H42&gt;=$N$16,IF(F42&gt;I41,F42,I41),I41)</f>
        <v>0</v>
      </c>
      <c r="J42">
        <f>IF(E42&gt;0,2-H42,0)</f>
        <v>2</v>
      </c>
    </row>
    <row r="43" spans="1:10" ht="12.75">
      <c r="A43">
        <v>4</v>
      </c>
      <c r="B43">
        <v>3</v>
      </c>
      <c r="C43">
        <f>A43*10+B43</f>
        <v>43</v>
      </c>
      <c r="D43">
        <f t="shared" si="10"/>
        <v>27</v>
      </c>
      <c r="E43">
        <f t="shared" si="10"/>
        <v>40</v>
      </c>
      <c r="F43" s="58">
        <f t="shared" si="10"/>
        <v>0.675</v>
      </c>
      <c r="G43">
        <f t="shared" si="10"/>
        <v>7</v>
      </c>
      <c r="H43">
        <f t="shared" si="10"/>
        <v>0</v>
      </c>
      <c r="I43" s="58">
        <f>IF(H43&gt;=$N$16,IF(F43&gt;I42,F43,I42),I42)</f>
        <v>0</v>
      </c>
      <c r="J43">
        <f>IF(E43&gt;0,2-H43,0)</f>
        <v>2</v>
      </c>
    </row>
    <row r="44" spans="1:10" ht="12.75">
      <c r="A44" t="str">
        <f>CONCATENATE($A$1,A41)</f>
        <v>B4</v>
      </c>
      <c r="C44" t="s">
        <v>59</v>
      </c>
      <c r="D44">
        <f>SUMIF(Blatt_1_und_2!$N$30:$N$45,$A44,Blatt_1_und_2!$H$30:$H$45)</f>
        <v>39</v>
      </c>
      <c r="E44">
        <f>SUMIF(Blatt_1_und_2!$N$30:$N$45,$A44,Blatt_1_und_2!$I$30:$I$45)</f>
        <v>40</v>
      </c>
      <c r="F44" s="58">
        <f>SUMIF(Blatt_1_und_2!$N$30:$N$45,$A44,Blatt_1_und_2!$K$30:$K$45)</f>
        <v>0.975</v>
      </c>
      <c r="G44">
        <f>SUMIF(Blatt_1_und_2!$N$30:$N$45,$A44,Blatt_1_und_2!$M$30:$M$45)</f>
        <v>5</v>
      </c>
      <c r="H44">
        <f>SUMIF(Blatt_1_und_2!$N$30:$N$45,$A44,Blatt_1_und_2!$G$30:$G$45)</f>
        <v>2</v>
      </c>
      <c r="I44" s="58">
        <f>IF(H44&gt;=$N$16,IF(F44&gt;I43,F44,I43),I43)</f>
        <v>0.975</v>
      </c>
      <c r="J44">
        <f>IF(E44&gt;0,2-H44,0)</f>
        <v>0</v>
      </c>
    </row>
    <row r="45" spans="1:10" ht="12.75">
      <c r="A45" t="str">
        <f>A44</f>
        <v>B4</v>
      </c>
      <c r="C45" s="5" t="s">
        <v>60</v>
      </c>
      <c r="D45">
        <f>SUMIF(Blatt_1_und_2!$N$49:$N$55,$A45,Blatt_1_und_2!$H$49:$H$55)</f>
        <v>0</v>
      </c>
      <c r="E45">
        <f>SUMIF(Blatt_1_und_2!$N$49:$N$55,$A45,Blatt_1_und_2!$I$49:$I$55)</f>
        <v>0</v>
      </c>
      <c r="F45" s="58">
        <f>SUMIF(Blatt_1_und_2!$N$49:$N$55,$A45,Blatt_1_und_2!$K$49:$K$55)</f>
        <v>0</v>
      </c>
      <c r="G45">
        <f>SUMIF(Blatt_1_und_2!$N$49:$N$55,$A45,Blatt_1_und_2!$M$49:$M$55)</f>
        <v>0</v>
      </c>
      <c r="H45">
        <f>SUMIF(Blatt_1_und_2!$N$49:$N$55,$A45,Blatt_1_und_2!$G$49:$G$55)</f>
        <v>0</v>
      </c>
      <c r="I45" s="58">
        <f>IF(H45&gt;=$N$16,IF(F45&gt;I44,F45,I44),I44)</f>
        <v>0.975</v>
      </c>
      <c r="J45">
        <f>IF(E45&gt;0,2-H45,0)</f>
        <v>0</v>
      </c>
    </row>
    <row r="46" spans="3:10" ht="12.75">
      <c r="C46" t="s">
        <v>61</v>
      </c>
      <c r="D46">
        <f>SUM(D41:D45)</f>
        <v>114</v>
      </c>
      <c r="E46">
        <f>SUM(E41:E45)</f>
        <v>160</v>
      </c>
      <c r="F46" s="58">
        <f>IF(E46&gt;0,D46/E46,0)</f>
        <v>0.7125</v>
      </c>
      <c r="G46">
        <f>MAX(G41:G45)</f>
        <v>7</v>
      </c>
      <c r="H46">
        <f>SUM(H41:H45)</f>
        <v>2</v>
      </c>
      <c r="I46" s="58">
        <f>I45</f>
        <v>0.975</v>
      </c>
      <c r="J46">
        <f>SUM(J41:J45)</f>
        <v>6</v>
      </c>
    </row>
    <row r="48" spans="1:3" ht="12.75">
      <c r="A48" t="s">
        <v>33</v>
      </c>
      <c r="B48" t="s">
        <v>35</v>
      </c>
      <c r="C48" t="s">
        <v>33</v>
      </c>
    </row>
    <row r="49" spans="1:3" ht="12.75">
      <c r="A49">
        <v>1</v>
      </c>
      <c r="B49">
        <f>VLOOKUP(SMALL(K$11:K$14,A49),K$11:M$14,2,FALSE)</f>
        <v>2</v>
      </c>
      <c r="C49">
        <v>1</v>
      </c>
    </row>
    <row r="50" spans="1:3" ht="12.75">
      <c r="A50">
        <v>2</v>
      </c>
      <c r="B50">
        <f>VLOOKUP(SMALL(K$11:K$14,A50),K$11:M$14,2,FALSE)</f>
        <v>3</v>
      </c>
      <c r="C50">
        <v>2</v>
      </c>
    </row>
    <row r="51" spans="1:3" ht="12.75">
      <c r="A51">
        <v>3</v>
      </c>
      <c r="B51">
        <f>VLOOKUP(SMALL(K$11:K$14,A51),K$11:M$14,2,FALSE)</f>
        <v>1</v>
      </c>
      <c r="C51">
        <v>3</v>
      </c>
    </row>
    <row r="52" spans="1:3" ht="12.75">
      <c r="A52">
        <v>4</v>
      </c>
      <c r="B52">
        <f>VLOOKUP(SMALL(K$11:K$14,A52),K$11:M$14,2,FALSE)</f>
        <v>4</v>
      </c>
      <c r="C52">
        <v>4</v>
      </c>
    </row>
  </sheetData>
  <sheetProtection sheet="1" objects="1" scenarios="1"/>
  <mergeCells count="5">
    <mergeCell ref="A40:B40"/>
    <mergeCell ref="B10:C10"/>
    <mergeCell ref="A16:B16"/>
    <mergeCell ref="A24:B24"/>
    <mergeCell ref="A32:B3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E19"/>
  <sheetViews>
    <sheetView zoomScalePageLayoutView="0" workbookViewId="0" topLeftCell="A1">
      <selection activeCell="B13" sqref="B13"/>
    </sheetView>
  </sheetViews>
  <sheetFormatPr defaultColWidth="11.421875" defaultRowHeight="12.75"/>
  <cols>
    <col min="1" max="1" width="3.28125" style="0" bestFit="1" customWidth="1"/>
    <col min="2" max="2" width="25.7109375" style="0" customWidth="1"/>
    <col min="3" max="3" width="22.7109375" style="0" customWidth="1"/>
    <col min="4" max="4" width="9.421875" style="0" bestFit="1" customWidth="1"/>
    <col min="5" max="5" width="6.57421875" style="0" bestFit="1" customWidth="1"/>
  </cols>
  <sheetData>
    <row r="1" spans="1:5" ht="12.75">
      <c r="A1" s="17" t="s">
        <v>30</v>
      </c>
      <c r="B1" s="17" t="s">
        <v>28</v>
      </c>
      <c r="C1" s="17" t="s">
        <v>78</v>
      </c>
      <c r="D1" s="17" t="s">
        <v>49</v>
      </c>
      <c r="E1" s="17" t="s">
        <v>2</v>
      </c>
    </row>
    <row r="2" spans="1:5" ht="12.75">
      <c r="A2" s="17" t="s">
        <v>11</v>
      </c>
      <c r="B2" s="10" t="s">
        <v>116</v>
      </c>
      <c r="C2" s="10" t="s">
        <v>98</v>
      </c>
      <c r="D2" s="10" t="s">
        <v>117</v>
      </c>
      <c r="E2" s="59">
        <v>1.095</v>
      </c>
    </row>
    <row r="3" spans="1:5" ht="12.75">
      <c r="A3" s="17" t="s">
        <v>12</v>
      </c>
      <c r="B3" s="10" t="s">
        <v>93</v>
      </c>
      <c r="C3" s="10" t="s">
        <v>100</v>
      </c>
      <c r="D3" s="10" t="s">
        <v>107</v>
      </c>
      <c r="E3" s="59">
        <v>0.87</v>
      </c>
    </row>
    <row r="4" spans="1:5" ht="12.75">
      <c r="A4" s="17" t="s">
        <v>13</v>
      </c>
      <c r="B4" s="10" t="s">
        <v>96</v>
      </c>
      <c r="C4" s="10" t="s">
        <v>102</v>
      </c>
      <c r="D4" s="10" t="s">
        <v>108</v>
      </c>
      <c r="E4" s="59">
        <v>0.842</v>
      </c>
    </row>
    <row r="5" spans="1:5" ht="12.75">
      <c r="A5" s="17" t="s">
        <v>14</v>
      </c>
      <c r="B5" s="10" t="s">
        <v>94</v>
      </c>
      <c r="C5" s="10" t="s">
        <v>99</v>
      </c>
      <c r="D5" s="10" t="s">
        <v>109</v>
      </c>
      <c r="E5" s="59">
        <v>0.732</v>
      </c>
    </row>
    <row r="6" spans="1:5" ht="12.75">
      <c r="A6" s="17" t="s">
        <v>15</v>
      </c>
      <c r="B6" s="10" t="s">
        <v>95</v>
      </c>
      <c r="C6" s="10" t="s">
        <v>101</v>
      </c>
      <c r="D6" s="10" t="s">
        <v>114</v>
      </c>
      <c r="E6" s="59">
        <v>0.98</v>
      </c>
    </row>
    <row r="7" spans="1:5" ht="12.75">
      <c r="A7" s="17" t="s">
        <v>16</v>
      </c>
      <c r="B7" s="10" t="s">
        <v>92</v>
      </c>
      <c r="C7" s="10" t="s">
        <v>99</v>
      </c>
      <c r="D7" s="10" t="s">
        <v>110</v>
      </c>
      <c r="E7" s="59">
        <v>0.902</v>
      </c>
    </row>
    <row r="8" spans="1:5" ht="12.75">
      <c r="A8" s="17" t="s">
        <v>17</v>
      </c>
      <c r="B8" s="10" t="s">
        <v>111</v>
      </c>
      <c r="C8" s="10" t="s">
        <v>112</v>
      </c>
      <c r="D8" s="10" t="s">
        <v>113</v>
      </c>
      <c r="E8" s="59">
        <v>0.841</v>
      </c>
    </row>
    <row r="9" spans="1:5" ht="12.75">
      <c r="A9" s="17" t="s">
        <v>18</v>
      </c>
      <c r="B9" s="10" t="s">
        <v>97</v>
      </c>
      <c r="C9" s="10" t="s">
        <v>103</v>
      </c>
      <c r="D9" s="10" t="s">
        <v>115</v>
      </c>
      <c r="E9" s="59">
        <v>0.821</v>
      </c>
    </row>
    <row r="10" spans="1:5" ht="12.75">
      <c r="A10" s="17"/>
      <c r="B10" s="17"/>
      <c r="C10" s="17"/>
      <c r="D10" s="17"/>
      <c r="E10" s="17"/>
    </row>
    <row r="11" spans="1:5" ht="12.75">
      <c r="A11" s="17"/>
      <c r="B11" s="17" t="s">
        <v>70</v>
      </c>
      <c r="C11" s="131" t="s">
        <v>90</v>
      </c>
      <c r="D11" s="131"/>
      <c r="E11" s="131"/>
    </row>
    <row r="12" spans="1:5" ht="12.75">
      <c r="A12" s="17"/>
      <c r="B12" s="17" t="s">
        <v>71</v>
      </c>
      <c r="C12" s="77" t="s">
        <v>89</v>
      </c>
      <c r="D12" s="130" t="s">
        <v>91</v>
      </c>
      <c r="E12" s="130"/>
    </row>
    <row r="13" spans="1:5" ht="12.75">
      <c r="A13" s="17"/>
      <c r="B13" s="17" t="s">
        <v>72</v>
      </c>
      <c r="C13" s="130" t="s">
        <v>104</v>
      </c>
      <c r="D13" s="130"/>
      <c r="E13" s="130"/>
    </row>
    <row r="14" spans="1:5" ht="12.75">
      <c r="A14" s="17"/>
      <c r="B14" s="17" t="s">
        <v>8</v>
      </c>
      <c r="C14" s="130" t="s">
        <v>105</v>
      </c>
      <c r="D14" s="130"/>
      <c r="E14" s="130"/>
    </row>
    <row r="15" spans="1:5" ht="12.75">
      <c r="A15" s="17"/>
      <c r="B15" s="17" t="s">
        <v>9</v>
      </c>
      <c r="C15" s="130" t="s">
        <v>106</v>
      </c>
      <c r="D15" s="130"/>
      <c r="E15" s="130"/>
    </row>
    <row r="16" spans="1:5" ht="12.75">
      <c r="A16" s="17"/>
      <c r="B16" s="17"/>
      <c r="C16" s="17"/>
      <c r="D16" s="17"/>
      <c r="E16" s="57"/>
    </row>
    <row r="17" spans="1:5" ht="12.75">
      <c r="A17" s="17"/>
      <c r="B17" s="17"/>
      <c r="C17" s="17"/>
      <c r="D17" s="17"/>
      <c r="E17" s="57"/>
    </row>
    <row r="18" spans="1:5" ht="12.75">
      <c r="A18" s="17"/>
      <c r="B18" s="17"/>
      <c r="C18" s="17"/>
      <c r="D18" s="17"/>
      <c r="E18" s="57"/>
    </row>
    <row r="19" spans="1:5" ht="12.75">
      <c r="A19" s="17"/>
      <c r="B19" s="17"/>
      <c r="C19" s="17"/>
      <c r="D19" s="17"/>
      <c r="E19" s="57"/>
    </row>
  </sheetData>
  <sheetProtection sheet="1" objects="1" scenarios="1"/>
  <mergeCells count="5">
    <mergeCell ref="C15:E15"/>
    <mergeCell ref="C11:E11"/>
    <mergeCell ref="C13:E13"/>
    <mergeCell ref="C14:E14"/>
    <mergeCell ref="D12:E12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/>
  <dimension ref="A1:A21"/>
  <sheetViews>
    <sheetView zoomScalePageLayoutView="0" workbookViewId="0" topLeftCell="A1">
      <selection activeCell="A2" sqref="A2"/>
    </sheetView>
  </sheetViews>
  <sheetFormatPr defaultColWidth="11.421875" defaultRowHeight="12.75"/>
  <sheetData>
    <row r="1" ht="12.75">
      <c r="A1" s="78" t="s">
        <v>65</v>
      </c>
    </row>
    <row r="3" ht="12.75">
      <c r="A3" t="s">
        <v>73</v>
      </c>
    </row>
    <row r="4" ht="12.75">
      <c r="A4" t="s">
        <v>74</v>
      </c>
    </row>
    <row r="6" ht="12.75">
      <c r="A6" t="s">
        <v>75</v>
      </c>
    </row>
    <row r="8" ht="12.75">
      <c r="A8" t="s">
        <v>66</v>
      </c>
    </row>
    <row r="9" ht="12.75">
      <c r="A9" t="s">
        <v>69</v>
      </c>
    </row>
    <row r="11" ht="12.75">
      <c r="A11" t="s">
        <v>83</v>
      </c>
    </row>
    <row r="12" ht="12.75">
      <c r="A12" t="s">
        <v>84</v>
      </c>
    </row>
    <row r="13" ht="12.75">
      <c r="A13" t="s">
        <v>85</v>
      </c>
    </row>
    <row r="14" ht="12.75">
      <c r="A14" t="s">
        <v>86</v>
      </c>
    </row>
    <row r="16" ht="12.75">
      <c r="A16" t="s">
        <v>67</v>
      </c>
    </row>
    <row r="17" ht="12.75">
      <c r="A17" t="s">
        <v>68</v>
      </c>
    </row>
    <row r="19" ht="12.75">
      <c r="A19" t="s">
        <v>76</v>
      </c>
    </row>
    <row r="21" ht="12.75">
      <c r="A21" t="s">
        <v>79</v>
      </c>
    </row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"/>
  <dimension ref="A1:L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28125" style="0" bestFit="1" customWidth="1"/>
    <col min="2" max="2" width="3.28125" style="0" bestFit="1" customWidth="1"/>
    <col min="3" max="3" width="19.421875" style="0" bestFit="1" customWidth="1"/>
    <col min="4" max="4" width="17.28125" style="0" bestFit="1" customWidth="1"/>
    <col min="5" max="5" width="6.8515625" style="0" bestFit="1" customWidth="1"/>
    <col min="6" max="6" width="5.00390625" style="0" bestFit="1" customWidth="1"/>
    <col min="7" max="7" width="4.421875" style="0" bestFit="1" customWidth="1"/>
    <col min="8" max="9" width="6.57421875" style="0" bestFit="1" customWidth="1"/>
    <col min="10" max="10" width="4.421875" style="0" bestFit="1" customWidth="1"/>
    <col min="11" max="11" width="4.00390625" style="0" bestFit="1" customWidth="1"/>
  </cols>
  <sheetData>
    <row r="1" spans="1:12" ht="12.75">
      <c r="A1" t="s">
        <v>33</v>
      </c>
      <c r="C1" t="s">
        <v>28</v>
      </c>
      <c r="D1" t="s">
        <v>48</v>
      </c>
      <c r="E1" t="s">
        <v>62</v>
      </c>
      <c r="F1" t="s">
        <v>23</v>
      </c>
      <c r="G1" t="s">
        <v>24</v>
      </c>
      <c r="H1" t="s">
        <v>25</v>
      </c>
      <c r="I1" t="s">
        <v>3</v>
      </c>
      <c r="J1" t="s">
        <v>0</v>
      </c>
      <c r="K1" t="s">
        <v>4</v>
      </c>
      <c r="L1" t="s">
        <v>77</v>
      </c>
    </row>
    <row r="2" spans="1:12" ht="12.75">
      <c r="A2">
        <v>1</v>
      </c>
      <c r="B2" t="str">
        <f>IF(Blatt_1_und_2!G54=2,Blatt_1_und_2!N54,Blatt_1_und_2!N55)</f>
        <v>A4</v>
      </c>
      <c r="C2" t="str">
        <f>CONCATENATE(A2,". ",VLOOKUP(B2,Eingabe_Allgemein!$A$2:$D$9,2,FALSE))</f>
        <v>1. Löwe, Tom</v>
      </c>
      <c r="D2" t="str">
        <f>VLOOKUP(B2,Eingabe_Allgemein!$A$2:$D$9,3,FALSE)</f>
        <v>BF Lobberich 1937</v>
      </c>
      <c r="E2" t="str">
        <f>CONCATENATE(J2," : ",L2)</f>
        <v>9 : 1</v>
      </c>
      <c r="F2">
        <f>VLOOKUP($B2,$B$12:$H$19,2,FALSE)</f>
        <v>193</v>
      </c>
      <c r="G2">
        <f>VLOOKUP($B2,$B$12:$H$19,3,FALSE)</f>
        <v>236</v>
      </c>
      <c r="H2" s="58">
        <f>IF(G2&gt;0,INT(F2/G2*1000)/1000,0)</f>
        <v>0.817</v>
      </c>
      <c r="I2" s="58">
        <f>INT(VLOOKUP($B2,$B$12:$H$19,7,FALSE)*1000)/1000</f>
        <v>1.212</v>
      </c>
      <c r="J2">
        <f>VLOOKUP($B2,$B$12:$H$19,6,FALSE)</f>
        <v>9</v>
      </c>
      <c r="K2">
        <f>VLOOKUP($B2,$B$12:$H$19,5,FALSE)</f>
        <v>8</v>
      </c>
      <c r="L2">
        <f>VLOOKUP($B2,$B$12:$I$19,8,FALSE)</f>
        <v>1</v>
      </c>
    </row>
    <row r="3" spans="1:12" ht="12.75">
      <c r="A3">
        <v>2</v>
      </c>
      <c r="B3" t="str">
        <f>IF(Blatt_1_und_2!G54=2,Blatt_1_und_2!N55,Blatt_1_und_2!N54)</f>
        <v>A3</v>
      </c>
      <c r="C3" t="str">
        <f>CONCATENATE(A3,". ",VLOOKUP(B3,Eingabe_Allgemein!$A$2:$D$9,2,FALSE))</f>
        <v>2. Patett, Andreas</v>
      </c>
      <c r="D3" t="str">
        <f>VLOOKUP(B3,Eingabe_Allgemein!$A$2:$D$9,3,FALSE)</f>
        <v>BSG Duisburg</v>
      </c>
      <c r="E3" t="str">
        <f aca="true" t="shared" si="0" ref="E3:E9">CONCATENATE(J3," : ",L3)</f>
        <v>7 : 3</v>
      </c>
      <c r="F3">
        <f aca="true" t="shared" si="1" ref="F3:F9">VLOOKUP($B3,$B$12:$H$19,2,FALSE)</f>
        <v>164</v>
      </c>
      <c r="G3">
        <f aca="true" t="shared" si="2" ref="G3:G9">VLOOKUP($B3,$B$12:$H$19,3,FALSE)</f>
        <v>216</v>
      </c>
      <c r="H3" s="58">
        <f aca="true" t="shared" si="3" ref="H3:H9">IF(G3&gt;0,INT(F3/G3*1000)/1000,0)</f>
        <v>0.759</v>
      </c>
      <c r="I3" s="58">
        <f aca="true" t="shared" si="4" ref="I3:I9">INT(VLOOKUP($B3,$B$12:$H$19,7,FALSE)*1000)/1000</f>
        <v>1.176</v>
      </c>
      <c r="J3">
        <f aca="true" t="shared" si="5" ref="J3:J9">VLOOKUP($B3,$B$12:$H$19,6,FALSE)</f>
        <v>7</v>
      </c>
      <c r="K3">
        <f aca="true" t="shared" si="6" ref="K3:K9">VLOOKUP($B3,$B$12:$H$19,5,FALSE)</f>
        <v>7</v>
      </c>
      <c r="L3">
        <f aca="true" t="shared" si="7" ref="L3:L9">VLOOKUP($B3,$B$12:$I$19,8,FALSE)</f>
        <v>3</v>
      </c>
    </row>
    <row r="4" spans="1:12" ht="12.75">
      <c r="A4">
        <v>3</v>
      </c>
      <c r="B4" t="str">
        <f>IF(Blatt_1_und_2!G49=2,Blatt_1_und_2!N49,Blatt_1_und_2!N50)</f>
        <v>B2</v>
      </c>
      <c r="C4" t="str">
        <f>CONCATENATE(A4,". ",VLOOKUP(B4,Eingabe_Allgemein!$A$2:$D$9,2,FALSE))</f>
        <v>3. Siebes, Fred</v>
      </c>
      <c r="D4" t="str">
        <f>VLOOKUP(B4,Eingabe_Allgemein!$A$2:$D$9,3,FALSE)</f>
        <v>BF Lobberich 1937</v>
      </c>
      <c r="E4" t="str">
        <f t="shared" si="0"/>
        <v>4 : 4</v>
      </c>
      <c r="F4">
        <f t="shared" si="1"/>
        <v>122</v>
      </c>
      <c r="G4">
        <f t="shared" si="2"/>
        <v>148</v>
      </c>
      <c r="H4" s="58">
        <f t="shared" si="3"/>
        <v>0.824</v>
      </c>
      <c r="I4" s="58">
        <f t="shared" si="4"/>
        <v>1.081</v>
      </c>
      <c r="J4">
        <f t="shared" si="5"/>
        <v>4</v>
      </c>
      <c r="K4">
        <f t="shared" si="6"/>
        <v>5</v>
      </c>
      <c r="L4">
        <f t="shared" si="7"/>
        <v>4</v>
      </c>
    </row>
    <row r="5" spans="1:12" ht="12.75">
      <c r="A5">
        <v>4</v>
      </c>
      <c r="B5" t="str">
        <f>IF(Blatt_1_und_2!G49=2,Blatt_1_und_2!N50,Blatt_1_und_2!N49)</f>
        <v>B3</v>
      </c>
      <c r="C5" t="str">
        <f>CONCATENATE(A5,". ",VLOOKUP(B5,Eingabe_Allgemein!$A$2:$D$9,2,FALSE))</f>
        <v>4. Mönning, Ralf</v>
      </c>
      <c r="D5" t="str">
        <f>VLOOKUP(B5,Eingabe_Allgemein!$A$2:$D$9,3,FALSE)</f>
        <v>BC Neviges 60</v>
      </c>
      <c r="E5" t="str">
        <f t="shared" si="0"/>
        <v>4 : 4</v>
      </c>
      <c r="F5">
        <f t="shared" si="1"/>
        <v>127</v>
      </c>
      <c r="G5">
        <f t="shared" si="2"/>
        <v>178</v>
      </c>
      <c r="H5" s="58">
        <f t="shared" si="3"/>
        <v>0.713</v>
      </c>
      <c r="I5" s="58">
        <f t="shared" si="4"/>
        <v>1.081</v>
      </c>
      <c r="J5">
        <f t="shared" si="5"/>
        <v>4</v>
      </c>
      <c r="K5">
        <f t="shared" si="6"/>
        <v>7</v>
      </c>
      <c r="L5">
        <f t="shared" si="7"/>
        <v>4</v>
      </c>
    </row>
    <row r="6" spans="1:12" ht="12.75">
      <c r="A6">
        <v>5</v>
      </c>
      <c r="B6" s="11" t="str">
        <f>IF(Blatt_1_und_2!G30=2,Blatt_1_und_2!N30,IF(Blatt_1_und_2!G31=2,Blatt_1_und_2!N31,IF(VLOOKUP(Blatt_1_und_2!N30,$B$12:$H$19,4,FALSE)&gt;VLOOKUP(Blatt_1_und_2!N31,$B$12:$H$19,4,FALSE),Blatt_1_und_2!N30,Blatt_1_und_2!N31)))</f>
        <v>B1</v>
      </c>
      <c r="C6" t="str">
        <f>CONCATENATE(A6,". ",VLOOKUP(B6,Eingabe_Allgemein!$A$2:$D$9,2,FALSE))</f>
        <v>5. Pauly, Marc</v>
      </c>
      <c r="D6" t="str">
        <f>VLOOKUP(B6,Eingabe_Allgemein!$A$2:$D$9,3,FALSE)</f>
        <v>BC Ruhrfähre</v>
      </c>
      <c r="E6" t="str">
        <f t="shared" si="0"/>
        <v>6 : 2</v>
      </c>
      <c r="F6">
        <f t="shared" si="1"/>
        <v>128</v>
      </c>
      <c r="G6">
        <f t="shared" si="2"/>
        <v>157</v>
      </c>
      <c r="H6" s="58">
        <f t="shared" si="3"/>
        <v>0.815</v>
      </c>
      <c r="I6" s="58">
        <f t="shared" si="4"/>
        <v>0.95</v>
      </c>
      <c r="J6">
        <f t="shared" si="5"/>
        <v>6</v>
      </c>
      <c r="K6">
        <f t="shared" si="6"/>
        <v>4</v>
      </c>
      <c r="L6">
        <f t="shared" si="7"/>
        <v>2</v>
      </c>
    </row>
    <row r="7" spans="1:12" ht="12.75">
      <c r="A7">
        <v>6</v>
      </c>
      <c r="B7" s="11" t="str">
        <f>IF(Blatt_1_und_2!G30=2,Blatt_1_und_2!N31,IF(Blatt_1_und_2!G31=2,Blatt_1_und_2!N30,IF(VLOOKUP(Blatt_1_und_2!N30,$B$12:$H$19,4,FALSE)&gt;VLOOKUP(Blatt_1_und_2!N31,$B$12:$H$19,4,FALSE),Blatt_1_und_2!N31,Blatt_1_und_2!N30)))</f>
        <v>A2</v>
      </c>
      <c r="C7" t="str">
        <f>CONCATENATE(A7,". ",VLOOKUP(B7,Eingabe_Allgemein!$A$2:$D$9,2,FALSE))</f>
        <v>6. Roos, Dirk</v>
      </c>
      <c r="D7" t="str">
        <f>VLOOKUP(B7,Eingabe_Allgemein!$A$2:$D$9,3,FALSE)</f>
        <v>BC Rot-Weiß Opladen 1934</v>
      </c>
      <c r="E7" t="str">
        <f t="shared" si="0"/>
        <v>2 : 6</v>
      </c>
      <c r="F7">
        <f t="shared" si="1"/>
        <v>107</v>
      </c>
      <c r="G7">
        <f t="shared" si="2"/>
        <v>153</v>
      </c>
      <c r="H7" s="58">
        <f t="shared" si="3"/>
        <v>0.699</v>
      </c>
      <c r="I7" s="58">
        <f t="shared" si="4"/>
        <v>0.75</v>
      </c>
      <c r="J7">
        <f t="shared" si="5"/>
        <v>2</v>
      </c>
      <c r="K7">
        <f t="shared" si="6"/>
        <v>4</v>
      </c>
      <c r="L7">
        <f t="shared" si="7"/>
        <v>6</v>
      </c>
    </row>
    <row r="8" spans="1:12" ht="12.75">
      <c r="A8">
        <v>7</v>
      </c>
      <c r="B8" s="11" t="str">
        <f>IF(Blatt_1_und_2!G32=2,Blatt_1_und_2!N32,IF(Blatt_1_und_2!G33=2,Blatt_1_und_2!N33,IF(VLOOKUP(Blatt_1_und_2!N32,$B$12:$H$19,4,FALSE)&gt;VLOOKUP(Blatt_1_und_2!N33,$B$12:$H$19,4,FALSE),Blatt_1_und_2!N32,Blatt_1_und_2!N33)))</f>
        <v>B4</v>
      </c>
      <c r="C8" t="str">
        <f>CONCATENATE(A8,". ",VLOOKUP(B8,Eingabe_Allgemein!$A$2:$D$9,2,FALSE))</f>
        <v>7. Aust, Andreas</v>
      </c>
      <c r="D8" t="str">
        <f>VLOOKUP(B8,Eingabe_Allgemein!$A$2:$D$9,3,FALSE)</f>
        <v>BC Am Grünen Brett Xanten 1957</v>
      </c>
      <c r="E8" t="str">
        <f t="shared" si="0"/>
        <v>2 : 6</v>
      </c>
      <c r="F8">
        <f t="shared" si="1"/>
        <v>114</v>
      </c>
      <c r="G8">
        <f t="shared" si="2"/>
        <v>160</v>
      </c>
      <c r="H8" s="58">
        <f t="shared" si="3"/>
        <v>0.712</v>
      </c>
      <c r="I8" s="58">
        <f t="shared" si="4"/>
        <v>0.975</v>
      </c>
      <c r="J8">
        <f t="shared" si="5"/>
        <v>2</v>
      </c>
      <c r="K8">
        <f t="shared" si="6"/>
        <v>7</v>
      </c>
      <c r="L8">
        <f t="shared" si="7"/>
        <v>6</v>
      </c>
    </row>
    <row r="9" spans="1:12" ht="12.75">
      <c r="A9">
        <v>8</v>
      </c>
      <c r="B9" s="11" t="str">
        <f>IF(Blatt_1_und_2!G32=2,Blatt_1_und_2!N33,IF(Blatt_1_und_2!G33=2,Blatt_1_und_2!N32,IF(VLOOKUP(Blatt_1_und_2!N32,$B$12:$H$19,4,FALSE)&gt;VLOOKUP(Blatt_1_und_2!N33,$B$12:$H$19,4,FALSE),Blatt_1_und_2!N33,Blatt_1_und_2!N32)))</f>
        <v>A1</v>
      </c>
      <c r="C9" t="str">
        <f>CONCATENATE(A9,". ",VLOOKUP(B9,Eingabe_Allgemein!$A$2:$D$9,2,FALSE))</f>
        <v>8. Krümmel, Gerd</v>
      </c>
      <c r="D9" t="str">
        <f>VLOOKUP(B9,Eingabe_Allgemein!$A$2:$D$9,3,FALSE)</f>
        <v>BSV Velbert</v>
      </c>
      <c r="E9" t="str">
        <f t="shared" si="0"/>
        <v>0 : 8</v>
      </c>
      <c r="F9">
        <f t="shared" si="1"/>
        <v>85</v>
      </c>
      <c r="G9">
        <f t="shared" si="2"/>
        <v>160</v>
      </c>
      <c r="H9" s="58">
        <f t="shared" si="3"/>
        <v>0.531</v>
      </c>
      <c r="I9" s="58">
        <f t="shared" si="4"/>
        <v>0</v>
      </c>
      <c r="J9">
        <f t="shared" si="5"/>
        <v>0</v>
      </c>
      <c r="K9">
        <f t="shared" si="6"/>
        <v>4</v>
      </c>
      <c r="L9">
        <f t="shared" si="7"/>
        <v>8</v>
      </c>
    </row>
    <row r="11" spans="3:9" ht="12.75">
      <c r="C11" t="s">
        <v>23</v>
      </c>
      <c r="D11" t="s">
        <v>24</v>
      </c>
      <c r="E11" t="s">
        <v>25</v>
      </c>
      <c r="F11" t="s">
        <v>4</v>
      </c>
      <c r="G11" t="s">
        <v>0</v>
      </c>
      <c r="H11" t="s">
        <v>3</v>
      </c>
      <c r="I11" t="s">
        <v>77</v>
      </c>
    </row>
    <row r="12" spans="2:9" ht="12.75">
      <c r="B12" t="s">
        <v>11</v>
      </c>
      <c r="C12">
        <f>GruppeA!D$22</f>
        <v>85</v>
      </c>
      <c r="D12">
        <f>GruppeA!E$22</f>
        <v>160</v>
      </c>
      <c r="E12" s="58">
        <f>GruppeA!F$22</f>
        <v>0.53125</v>
      </c>
      <c r="F12">
        <f>GruppeA!G$22</f>
        <v>4</v>
      </c>
      <c r="G12">
        <f>GruppeA!H$22</f>
        <v>0</v>
      </c>
      <c r="H12" s="58">
        <f>GruppeA!I$22</f>
        <v>0</v>
      </c>
      <c r="I12" s="4">
        <f>GruppeA!J$22</f>
        <v>8</v>
      </c>
    </row>
    <row r="13" spans="2:9" ht="12.75">
      <c r="B13" t="s">
        <v>12</v>
      </c>
      <c r="C13">
        <f>GruppeA!D$30</f>
        <v>107</v>
      </c>
      <c r="D13">
        <f>GruppeA!E$30</f>
        <v>153</v>
      </c>
      <c r="E13" s="58">
        <f>GruppeA!F$30</f>
        <v>0.6993464052287581</v>
      </c>
      <c r="F13">
        <f>GruppeA!G$30</f>
        <v>4</v>
      </c>
      <c r="G13">
        <f>GruppeA!H$30</f>
        <v>2</v>
      </c>
      <c r="H13" s="58">
        <f>GruppeA!I$30</f>
        <v>0.75</v>
      </c>
      <c r="I13" s="4">
        <f>GruppeA!J$30</f>
        <v>6</v>
      </c>
    </row>
    <row r="14" spans="2:9" ht="12.75">
      <c r="B14" t="s">
        <v>13</v>
      </c>
      <c r="C14">
        <f>GruppeA!D$38</f>
        <v>164</v>
      </c>
      <c r="D14">
        <f>GruppeA!E$38</f>
        <v>216</v>
      </c>
      <c r="E14" s="58">
        <f>GruppeA!F$38</f>
        <v>0.7592592592592593</v>
      </c>
      <c r="F14">
        <f>GruppeA!G$38</f>
        <v>7</v>
      </c>
      <c r="G14">
        <f>GruppeA!H$38</f>
        <v>7</v>
      </c>
      <c r="H14" s="58">
        <f>GruppeA!I$38</f>
        <v>1.176</v>
      </c>
      <c r="I14" s="4">
        <f>GruppeA!J$38</f>
        <v>3</v>
      </c>
    </row>
    <row r="15" spans="2:9" ht="12.75">
      <c r="B15" t="s">
        <v>14</v>
      </c>
      <c r="C15">
        <f>GruppeA!D$46</f>
        <v>193</v>
      </c>
      <c r="D15">
        <f>GruppeA!E$46</f>
        <v>236</v>
      </c>
      <c r="E15" s="58">
        <f>GruppeA!F$46</f>
        <v>0.8177966101694916</v>
      </c>
      <c r="F15">
        <f>GruppeA!G$46</f>
        <v>8</v>
      </c>
      <c r="G15">
        <f>GruppeA!H$46</f>
        <v>9</v>
      </c>
      <c r="H15" s="58">
        <f>GruppeA!I$46</f>
        <v>1.212</v>
      </c>
      <c r="I15" s="4">
        <f>GruppeA!J$46</f>
        <v>1</v>
      </c>
    </row>
    <row r="16" spans="2:9" ht="12.75">
      <c r="B16" t="s">
        <v>15</v>
      </c>
      <c r="C16">
        <f>GruppeB!D$22</f>
        <v>128</v>
      </c>
      <c r="D16">
        <f>GruppeB!E$22</f>
        <v>157</v>
      </c>
      <c r="E16" s="58">
        <f>GruppeB!F$22</f>
        <v>0.8152866242038217</v>
      </c>
      <c r="F16">
        <f>GruppeB!G$22</f>
        <v>4</v>
      </c>
      <c r="G16">
        <f>GruppeB!H$22</f>
        <v>6</v>
      </c>
      <c r="H16" s="58">
        <f>GruppeB!I$22</f>
        <v>0.95</v>
      </c>
      <c r="I16" s="4">
        <f>GruppeB!J$22</f>
        <v>2</v>
      </c>
    </row>
    <row r="17" spans="2:9" ht="12.75">
      <c r="B17" t="s">
        <v>16</v>
      </c>
      <c r="C17">
        <f>GruppeB!D$30</f>
        <v>122</v>
      </c>
      <c r="D17">
        <f>GruppeB!E$30</f>
        <v>148</v>
      </c>
      <c r="E17" s="58">
        <f>GruppeB!F$30</f>
        <v>0.8243243243243243</v>
      </c>
      <c r="F17">
        <f>GruppeB!G$30</f>
        <v>5</v>
      </c>
      <c r="G17">
        <f>GruppeB!H$30</f>
        <v>4</v>
      </c>
      <c r="H17" s="58">
        <f>GruppeB!I$30</f>
        <v>1.081</v>
      </c>
      <c r="I17" s="4">
        <f>GruppeB!J$30</f>
        <v>4</v>
      </c>
    </row>
    <row r="18" spans="2:9" ht="12.75">
      <c r="B18" t="s">
        <v>17</v>
      </c>
      <c r="C18">
        <f>GruppeB!D$38</f>
        <v>127</v>
      </c>
      <c r="D18">
        <f>GruppeB!E$38</f>
        <v>178</v>
      </c>
      <c r="E18" s="58">
        <f>GruppeB!F$38</f>
        <v>0.7134831460674157</v>
      </c>
      <c r="F18">
        <f>GruppeB!G$38</f>
        <v>7</v>
      </c>
      <c r="G18">
        <f>GruppeB!H$38</f>
        <v>4</v>
      </c>
      <c r="H18" s="58">
        <f>GruppeB!I$38</f>
        <v>1.081</v>
      </c>
      <c r="I18" s="4">
        <f>GruppeB!J$38</f>
        <v>4</v>
      </c>
    </row>
    <row r="19" spans="2:9" ht="12.75">
      <c r="B19" t="s">
        <v>18</v>
      </c>
      <c r="C19">
        <f>GruppeB!D$46</f>
        <v>114</v>
      </c>
      <c r="D19">
        <f>GruppeB!E$46</f>
        <v>160</v>
      </c>
      <c r="E19" s="58">
        <f>GruppeB!F$46</f>
        <v>0.7125</v>
      </c>
      <c r="F19">
        <f>GruppeB!G$46</f>
        <v>7</v>
      </c>
      <c r="G19">
        <f>GruppeB!H$46</f>
        <v>2</v>
      </c>
      <c r="H19" s="58">
        <f>GruppeB!I$46</f>
        <v>0.975</v>
      </c>
      <c r="I19" s="4">
        <f>GruppeB!J$46</f>
        <v>6</v>
      </c>
    </row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Planco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</dc:creator>
  <cp:keywords/>
  <dc:description/>
  <cp:lastModifiedBy>rr</cp:lastModifiedBy>
  <cp:lastPrinted>2012-04-15T12:26:36Z</cp:lastPrinted>
  <dcterms:created xsi:type="dcterms:W3CDTF">2001-03-13T10:51:05Z</dcterms:created>
  <dcterms:modified xsi:type="dcterms:W3CDTF">2012-04-15T12:26:44Z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1196835542</vt:i4>
  </property>
  <property fmtid="{D5CDD505-2E9C-101B-9397-08002B2CF9AE}" pid="3" name="_EmailSubject">
    <vt:lpwstr>Ergebnisse / Tabellen / Formulare</vt:lpwstr>
  </property>
  <property fmtid="{D5CDD505-2E9C-101B-9397-08002B2CF9AE}" pid="4" name="_AuthorEmail">
    <vt:lpwstr>manfred.fr@t-online.de</vt:lpwstr>
  </property>
  <property fmtid="{D5CDD505-2E9C-101B-9397-08002B2CF9AE}" pid="5" name="_AuthorEmailDisplayName">
    <vt:lpwstr>Manfred Franke</vt:lpwstr>
  </property>
  <property fmtid="{D5CDD505-2E9C-101B-9397-08002B2CF9AE}" pid="6" name="_ReviewingToolsShownOnce">
    <vt:lpwstr/>
  </property>
</Properties>
</file>